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MAF DOCUMENTOS 2023\Licitações 2023\CONCORRÊNCIA 001-2023 - OBRA PISO SUPERIOR\"/>
    </mc:Choice>
  </mc:AlternateContent>
  <xr:revisionPtr revIDLastSave="0" documentId="8_{47807717-7CCD-431D-9C38-7CC64EB37772}" xr6:coauthVersionLast="47" xr6:coauthVersionMax="47" xr10:uidLastSave="{00000000-0000-0000-0000-000000000000}"/>
  <bookViews>
    <workbookView xWindow="-120" yWindow="-120" windowWidth="34890" windowHeight="14490" activeTab="3" xr2:uid="{00000000-000D-0000-FFFF-FFFF00000000}"/>
  </bookViews>
  <sheets>
    <sheet name="Planilha orçamentária" sheetId="1" r:id="rId1"/>
    <sheet name="cronograma físico-financeiro" sheetId="3" r:id="rId2"/>
    <sheet name="Capa" sheetId="4" r:id="rId3"/>
    <sheet name="BDI" sheetId="5" r:id="rId4"/>
  </sheets>
  <externalReferences>
    <externalReference r:id="rId5"/>
  </externalReferences>
  <definedNames>
    <definedName name="_xlnm.Print_Area" localSheetId="3">BDI!$D$2:$H$47</definedName>
    <definedName name="_xlnm.Print_Area" localSheetId="2">Capa!$I$2:$R$49</definedName>
    <definedName name="_xlnm.Print_Area" localSheetId="1">'cronograma físico-financeiro'!$D$2:$V$34</definedName>
    <definedName name="_xlnm.Print_Area" localSheetId="0">'Planilha orçamentária'!$D$2:$M$178</definedName>
    <definedName name="_xlnm.Print_Titles" localSheetId="0">'Planilha orçamentária'!$3:$14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9" i="1" l="1"/>
  <c r="K149" i="1" s="1"/>
  <c r="L149" i="1" s="1"/>
  <c r="L160" i="1" s="1"/>
  <c r="J150" i="1"/>
  <c r="K150" i="1" l="1"/>
  <c r="L150" i="1" s="1"/>
  <c r="J158" i="1" l="1"/>
  <c r="K158" i="1" s="1"/>
  <c r="L158" i="1" s="1"/>
  <c r="J156" i="1"/>
  <c r="K156" i="1" s="1"/>
  <c r="L156" i="1" s="1"/>
  <c r="J155" i="1"/>
  <c r="J157" i="1"/>
  <c r="K157" i="1" s="1"/>
  <c r="L157" i="1" s="1"/>
  <c r="J148" i="1" l="1"/>
  <c r="K148" i="1" s="1"/>
  <c r="J58" i="1"/>
  <c r="K58" i="1" s="1"/>
  <c r="J81" i="1"/>
  <c r="K81" i="1" s="1"/>
  <c r="L81" i="1" s="1"/>
  <c r="L148" i="1" l="1"/>
  <c r="U17" i="3"/>
  <c r="F17" i="3"/>
  <c r="E17" i="3"/>
  <c r="J21" i="1"/>
  <c r="K21" i="1" s="1"/>
  <c r="L21" i="1" s="1"/>
  <c r="J20" i="1"/>
  <c r="J19" i="1"/>
  <c r="J80" i="1"/>
  <c r="K80" i="1" s="1"/>
  <c r="J88" i="1"/>
  <c r="K88" i="1" s="1"/>
  <c r="L88" i="1" s="1"/>
  <c r="K20" i="1" l="1"/>
  <c r="L20" i="1" s="1"/>
  <c r="K19" i="1"/>
  <c r="L19" i="1" s="1"/>
  <c r="L80" i="1"/>
  <c r="J29" i="1"/>
  <c r="K29" i="1" s="1"/>
  <c r="L29" i="1" s="1"/>
  <c r="J28" i="1"/>
  <c r="K28" i="1" s="1"/>
  <c r="L28" i="1" s="1"/>
  <c r="J27" i="1"/>
  <c r="K27" i="1" s="1"/>
  <c r="L27" i="1" s="1"/>
  <c r="J26" i="1"/>
  <c r="K26" i="1" s="1"/>
  <c r="L26" i="1" s="1"/>
  <c r="L23" i="1" l="1"/>
  <c r="G17" i="3" s="1"/>
  <c r="P17" i="3" s="1"/>
  <c r="G17" i="5"/>
  <c r="J34" i="1"/>
  <c r="K34" i="1" s="1"/>
  <c r="L34" i="1" s="1"/>
  <c r="E12" i="3"/>
  <c r="I87" i="1"/>
  <c r="J49" i="1"/>
  <c r="K49" i="1" s="1"/>
  <c r="J48" i="1"/>
  <c r="K48" i="1" s="1"/>
  <c r="L48" i="1" s="1"/>
  <c r="J87" i="1"/>
  <c r="K87" i="1" s="1"/>
  <c r="J79" i="1"/>
  <c r="K79" i="1" s="1"/>
  <c r="G27" i="5"/>
  <c r="G36" i="5" s="1"/>
  <c r="I85" i="1"/>
  <c r="I71" i="1" s="1"/>
  <c r="J85" i="1"/>
  <c r="K85" i="1" s="1"/>
  <c r="U29" i="3"/>
  <c r="F29" i="3"/>
  <c r="E29" i="3"/>
  <c r="J169" i="1"/>
  <c r="J168" i="1"/>
  <c r="K168" i="1" s="1"/>
  <c r="J167" i="1"/>
  <c r="K167" i="1" s="1"/>
  <c r="J166" i="1"/>
  <c r="J165" i="1"/>
  <c r="J164" i="1"/>
  <c r="J163" i="1"/>
  <c r="E11" i="5"/>
  <c r="E10" i="5"/>
  <c r="E9" i="5"/>
  <c r="G24" i="5"/>
  <c r="E17" i="5"/>
  <c r="E5" i="5"/>
  <c r="J17" i="3" l="1"/>
  <c r="L17" i="3"/>
  <c r="R17" i="3"/>
  <c r="T17" i="3"/>
  <c r="N17" i="3"/>
  <c r="L87" i="1"/>
  <c r="L49" i="1"/>
  <c r="L79" i="1"/>
  <c r="L85" i="1"/>
  <c r="K165" i="1"/>
  <c r="L165" i="1" s="1"/>
  <c r="K166" i="1"/>
  <c r="L166" i="1" s="1"/>
  <c r="L167" i="1"/>
  <c r="K163" i="1"/>
  <c r="L163" i="1" s="1"/>
  <c r="L168" i="1"/>
  <c r="K169" i="1"/>
  <c r="L169" i="1" s="1"/>
  <c r="K164" i="1"/>
  <c r="L164" i="1" s="1"/>
  <c r="J132" i="1"/>
  <c r="K132" i="1" s="1"/>
  <c r="L170" i="1" l="1"/>
  <c r="G29" i="3" s="1"/>
  <c r="L132" i="1"/>
  <c r="J159" i="1"/>
  <c r="K159" i="1" s="1"/>
  <c r="N29" i="3" l="1"/>
  <c r="R29" i="3"/>
  <c r="J29" i="3"/>
  <c r="L29" i="3"/>
  <c r="P29" i="3"/>
  <c r="T29" i="3"/>
  <c r="L159" i="1"/>
  <c r="U19" i="3"/>
  <c r="U20" i="3"/>
  <c r="U21" i="3"/>
  <c r="U22" i="3"/>
  <c r="U23" i="3"/>
  <c r="U24" i="3"/>
  <c r="U25" i="3"/>
  <c r="U26" i="3"/>
  <c r="U27" i="3"/>
  <c r="U28" i="3"/>
  <c r="U30" i="3"/>
  <c r="U18" i="3"/>
  <c r="K155" i="1" l="1"/>
  <c r="J154" i="1"/>
  <c r="K154" i="1" s="1"/>
  <c r="J153" i="1"/>
  <c r="J152" i="1"/>
  <c r="K152" i="1" s="1"/>
  <c r="J131" i="1"/>
  <c r="K131" i="1" s="1"/>
  <c r="J143" i="1"/>
  <c r="K143" i="1" s="1"/>
  <c r="L143" i="1" s="1"/>
  <c r="J142" i="1"/>
  <c r="K142" i="1" s="1"/>
  <c r="J141" i="1"/>
  <c r="K141" i="1" s="1"/>
  <c r="J140" i="1"/>
  <c r="K140" i="1" s="1"/>
  <c r="L140" i="1" s="1"/>
  <c r="J139" i="1"/>
  <c r="K139" i="1" s="1"/>
  <c r="J138" i="1"/>
  <c r="K138" i="1" s="1"/>
  <c r="I137" i="1"/>
  <c r="J137" i="1"/>
  <c r="K137" i="1" s="1"/>
  <c r="I136" i="1"/>
  <c r="J136" i="1"/>
  <c r="K136" i="1" s="1"/>
  <c r="I135" i="1"/>
  <c r="J135" i="1"/>
  <c r="K135" i="1" s="1"/>
  <c r="J134" i="1"/>
  <c r="K134" i="1" s="1"/>
  <c r="J133" i="1"/>
  <c r="K133" i="1" s="1"/>
  <c r="J130" i="1"/>
  <c r="J129" i="1"/>
  <c r="J128" i="1"/>
  <c r="K128" i="1" s="1"/>
  <c r="J127" i="1"/>
  <c r="K127" i="1" s="1"/>
  <c r="J123" i="1"/>
  <c r="J122" i="1"/>
  <c r="J121" i="1"/>
  <c r="K121" i="1" s="1"/>
  <c r="J120" i="1"/>
  <c r="J119" i="1"/>
  <c r="K119" i="1" s="1"/>
  <c r="L119" i="1" s="1"/>
  <c r="J118" i="1"/>
  <c r="K118" i="1" s="1"/>
  <c r="J116" i="1"/>
  <c r="K116" i="1" s="1"/>
  <c r="J117" i="1"/>
  <c r="J115" i="1"/>
  <c r="J114" i="1"/>
  <c r="K114" i="1" s="1"/>
  <c r="J112" i="1"/>
  <c r="J111" i="1"/>
  <c r="K111" i="1" s="1"/>
  <c r="J108" i="1"/>
  <c r="K108" i="1" s="1"/>
  <c r="L108" i="1" s="1"/>
  <c r="J107" i="1"/>
  <c r="K107" i="1" s="1"/>
  <c r="J106" i="1"/>
  <c r="L155" i="1" l="1"/>
  <c r="L154" i="1"/>
  <c r="K153" i="1"/>
  <c r="L153" i="1" s="1"/>
  <c r="L152" i="1"/>
  <c r="L131" i="1"/>
  <c r="L142" i="1"/>
  <c r="L141" i="1"/>
  <c r="L139" i="1"/>
  <c r="L138" i="1"/>
  <c r="L137" i="1"/>
  <c r="L136" i="1"/>
  <c r="L135" i="1"/>
  <c r="L134" i="1"/>
  <c r="L111" i="1"/>
  <c r="L133" i="1"/>
  <c r="K130" i="1"/>
  <c r="L130" i="1" s="1"/>
  <c r="K129" i="1"/>
  <c r="L129" i="1" s="1"/>
  <c r="L128" i="1"/>
  <c r="L127" i="1"/>
  <c r="K123" i="1"/>
  <c r="L123" i="1" s="1"/>
  <c r="K122" i="1"/>
  <c r="L122" i="1" s="1"/>
  <c r="L121" i="1"/>
  <c r="K120" i="1"/>
  <c r="L120" i="1" s="1"/>
  <c r="L118" i="1"/>
  <c r="L116" i="1"/>
  <c r="K117" i="1"/>
  <c r="L117" i="1" s="1"/>
  <c r="K115" i="1"/>
  <c r="L115" i="1" s="1"/>
  <c r="L114" i="1"/>
  <c r="K112" i="1"/>
  <c r="L112" i="1" s="1"/>
  <c r="L107" i="1"/>
  <c r="K106" i="1"/>
  <c r="L106" i="1" s="1"/>
  <c r="J101" i="1"/>
  <c r="K101" i="1" s="1"/>
  <c r="J98" i="1"/>
  <c r="I86" i="1"/>
  <c r="J76" i="1"/>
  <c r="J77" i="1"/>
  <c r="K77" i="1" s="1"/>
  <c r="L77" i="1" s="1"/>
  <c r="J75" i="1"/>
  <c r="K75" i="1" s="1"/>
  <c r="J78" i="1"/>
  <c r="K78" i="1" s="1"/>
  <c r="L78" i="1" s="1"/>
  <c r="J67" i="1"/>
  <c r="J65" i="1"/>
  <c r="K65" i="1" s="1"/>
  <c r="J64" i="1"/>
  <c r="K64" i="1" s="1"/>
  <c r="L64" i="1" s="1"/>
  <c r="J63" i="1"/>
  <c r="K63" i="1" s="1"/>
  <c r="I62" i="1"/>
  <c r="I63" i="1" s="1"/>
  <c r="I66" i="1" s="1"/>
  <c r="J61" i="1"/>
  <c r="K61" i="1" s="1"/>
  <c r="L61" i="1" s="1"/>
  <c r="J62" i="1"/>
  <c r="K62" i="1" s="1"/>
  <c r="J38" i="1"/>
  <c r="K38" i="1" s="1"/>
  <c r="J39" i="1"/>
  <c r="K39" i="1" s="1"/>
  <c r="I47" i="1"/>
  <c r="I46" i="1"/>
  <c r="J46" i="1"/>
  <c r="K46" i="1" s="1"/>
  <c r="J44" i="1"/>
  <c r="K44" i="1" s="1"/>
  <c r="J33" i="1"/>
  <c r="K33" i="1" s="1"/>
  <c r="J32" i="1"/>
  <c r="J31" i="1"/>
  <c r="K31" i="1" s="1"/>
  <c r="L31" i="1" s="1"/>
  <c r="F23" i="3"/>
  <c r="I173" i="1" l="1"/>
  <c r="L101" i="1"/>
  <c r="K98" i="1"/>
  <c r="K76" i="1"/>
  <c r="L76" i="1" s="1"/>
  <c r="L75" i="1"/>
  <c r="L62" i="1"/>
  <c r="K67" i="1"/>
  <c r="L67" i="1" s="1"/>
  <c r="L65" i="1"/>
  <c r="L63" i="1"/>
  <c r="L39" i="1"/>
  <c r="L38" i="1"/>
  <c r="L44" i="1"/>
  <c r="L46" i="1"/>
  <c r="L33" i="1"/>
  <c r="K32" i="1"/>
  <c r="L32" i="1" s="1"/>
  <c r="J66" i="1"/>
  <c r="K66" i="1" s="1"/>
  <c r="L82" i="1" l="1"/>
  <c r="L66" i="1"/>
  <c r="L68" i="1" s="1"/>
  <c r="E10" i="3"/>
  <c r="E11" i="3"/>
  <c r="K27" i="4" s="1"/>
  <c r="J144" i="1"/>
  <c r="K144" i="1" s="1"/>
  <c r="L144" i="1" s="1"/>
  <c r="J100" i="1" l="1"/>
  <c r="K100" i="1" s="1"/>
  <c r="I92" i="1"/>
  <c r="I93" i="1" s="1"/>
  <c r="J45" i="1"/>
  <c r="K45" i="1" s="1"/>
  <c r="I98" i="1" l="1"/>
  <c r="L98" i="1" s="1"/>
  <c r="I99" i="1"/>
  <c r="L100" i="1"/>
  <c r="L45" i="1"/>
  <c r="K15" i="4" l="1"/>
  <c r="K13" i="4"/>
  <c r="J5" i="4"/>
  <c r="K25" i="4"/>
  <c r="J124" i="1" l="1"/>
  <c r="K124" i="1" s="1"/>
  <c r="L124" i="1" s="1"/>
  <c r="J113" i="1"/>
  <c r="K113" i="1" s="1"/>
  <c r="L113" i="1" s="1"/>
  <c r="J105" i="1"/>
  <c r="K105" i="1" s="1"/>
  <c r="L105" i="1" s="1"/>
  <c r="J109" i="1" l="1"/>
  <c r="K109" i="1" s="1"/>
  <c r="L109" i="1" s="1"/>
  <c r="J110" i="1"/>
  <c r="K110" i="1" s="1"/>
  <c r="L110" i="1" s="1"/>
  <c r="J125" i="1"/>
  <c r="J126" i="1"/>
  <c r="K126" i="1" s="1"/>
  <c r="L126" i="1" s="1"/>
  <c r="K125" i="1" l="1"/>
  <c r="L125" i="1" s="1"/>
  <c r="L145" i="1" s="1"/>
  <c r="J94" i="1"/>
  <c r="K94" i="1" s="1"/>
  <c r="L94" i="1" s="1"/>
  <c r="E23" i="3" l="1"/>
  <c r="G23" i="3" l="1"/>
  <c r="J47" i="1"/>
  <c r="K47" i="1" s="1"/>
  <c r="J41" i="1"/>
  <c r="K41" i="1" s="1"/>
  <c r="J40" i="1"/>
  <c r="T23" i="3" l="1"/>
  <c r="R23" i="3"/>
  <c r="L23" i="3"/>
  <c r="P23" i="3"/>
  <c r="J23" i="3"/>
  <c r="N23" i="3"/>
  <c r="L47" i="1"/>
  <c r="K40" i="1"/>
  <c r="L40" i="1" s="1"/>
  <c r="L41" i="1"/>
  <c r="E9" i="3" l="1"/>
  <c r="K21" i="4" s="1"/>
  <c r="F18" i="3"/>
  <c r="F19" i="3"/>
  <c r="F20" i="3"/>
  <c r="F21" i="3"/>
  <c r="F22" i="3"/>
  <c r="F24" i="3"/>
  <c r="F25" i="3"/>
  <c r="F26" i="3"/>
  <c r="F27" i="3"/>
  <c r="F28" i="3"/>
  <c r="F30" i="3"/>
  <c r="E30" i="3"/>
  <c r="E28" i="3"/>
  <c r="E27" i="3"/>
  <c r="E26" i="3"/>
  <c r="E25" i="3"/>
  <c r="E24" i="3"/>
  <c r="E22" i="3"/>
  <c r="E21" i="3"/>
  <c r="E20" i="3"/>
  <c r="E19" i="3"/>
  <c r="E18" i="3"/>
  <c r="J173" i="1"/>
  <c r="K173" i="1" s="1"/>
  <c r="L173" i="1" s="1"/>
  <c r="J151" i="1"/>
  <c r="K151" i="1" s="1"/>
  <c r="L151" i="1" s="1"/>
  <c r="J30" i="1"/>
  <c r="K30" i="1" s="1"/>
  <c r="J56" i="1"/>
  <c r="J43" i="1"/>
  <c r="K43" i="1" s="1"/>
  <c r="L43" i="1" s="1"/>
  <c r="J42" i="1"/>
  <c r="K42" i="1" s="1"/>
  <c r="E5" i="3"/>
  <c r="J92" i="1"/>
  <c r="K92" i="1" s="1"/>
  <c r="L92" i="1" s="1"/>
  <c r="L95" i="1" s="1"/>
  <c r="E13" i="3"/>
  <c r="J93" i="1"/>
  <c r="K93" i="1" s="1"/>
  <c r="L93" i="1" s="1"/>
  <c r="J86" i="1"/>
  <c r="K86" i="1" s="1"/>
  <c r="L86" i="1" s="1"/>
  <c r="L89" i="1" s="1"/>
  <c r="J71" i="1"/>
  <c r="K71" i="1" s="1"/>
  <c r="J53" i="1"/>
  <c r="K53" i="1" s="1"/>
  <c r="J54" i="1"/>
  <c r="J55" i="1"/>
  <c r="K55" i="1" s="1"/>
  <c r="L55" i="1" s="1"/>
  <c r="J57" i="1"/>
  <c r="K57" i="1" s="1"/>
  <c r="L57" i="1" s="1"/>
  <c r="J99" i="1"/>
  <c r="K99" i="1" s="1"/>
  <c r="L174" i="1" l="1"/>
  <c r="G30" i="3" s="1"/>
  <c r="G25" i="3"/>
  <c r="L99" i="1"/>
  <c r="L102" i="1" s="1"/>
  <c r="L42" i="1"/>
  <c r="L50" i="1" s="1"/>
  <c r="L53" i="1"/>
  <c r="L71" i="1"/>
  <c r="L30" i="1"/>
  <c r="L35" i="1" s="1"/>
  <c r="K54" i="1"/>
  <c r="L54" i="1" s="1"/>
  <c r="K56" i="1"/>
  <c r="L56" i="1" s="1"/>
  <c r="T30" i="3" l="1"/>
  <c r="J30" i="3"/>
  <c r="P30" i="3"/>
  <c r="R30" i="3"/>
  <c r="N30" i="3"/>
  <c r="L30" i="3"/>
  <c r="L58" i="1"/>
  <c r="L176" i="1" s="1"/>
  <c r="T25" i="3"/>
  <c r="R25" i="3"/>
  <c r="L72" i="1"/>
  <c r="G22" i="3" s="1"/>
  <c r="G21" i="3"/>
  <c r="G26" i="3"/>
  <c r="G24" i="3"/>
  <c r="G19" i="3"/>
  <c r="G28" i="3"/>
  <c r="P25" i="3"/>
  <c r="J25" i="3"/>
  <c r="N25" i="3"/>
  <c r="L25" i="3"/>
  <c r="T21" i="3" l="1"/>
  <c r="R21" i="3"/>
  <c r="T19" i="3"/>
  <c r="R19" i="3"/>
  <c r="T22" i="3"/>
  <c r="R22" i="3"/>
  <c r="J28" i="3"/>
  <c r="T28" i="3"/>
  <c r="R28" i="3"/>
  <c r="T24" i="3"/>
  <c r="R24" i="3"/>
  <c r="N26" i="3"/>
  <c r="T26" i="3"/>
  <c r="R26" i="3"/>
  <c r="J22" i="3"/>
  <c r="N22" i="3"/>
  <c r="P22" i="3"/>
  <c r="L22" i="3"/>
  <c r="G20" i="3"/>
  <c r="L26" i="3"/>
  <c r="J26" i="3"/>
  <c r="P26" i="3"/>
  <c r="G27" i="3"/>
  <c r="L19" i="3"/>
  <c r="P19" i="3"/>
  <c r="J19" i="3"/>
  <c r="N19" i="3"/>
  <c r="G18" i="3"/>
  <c r="N28" i="3"/>
  <c r="L28" i="3"/>
  <c r="P28" i="3"/>
  <c r="P24" i="3"/>
  <c r="L24" i="3"/>
  <c r="J24" i="3"/>
  <c r="N24" i="3"/>
  <c r="J21" i="3"/>
  <c r="P21" i="3"/>
  <c r="L21" i="3"/>
  <c r="N21" i="3"/>
  <c r="G32" i="3" l="1"/>
  <c r="R18" i="3"/>
  <c r="T18" i="3"/>
  <c r="T27" i="3"/>
  <c r="R27" i="3"/>
  <c r="N20" i="3"/>
  <c r="T20" i="3"/>
  <c r="R20" i="3"/>
  <c r="P20" i="3"/>
  <c r="L20" i="3"/>
  <c r="J20" i="3"/>
  <c r="J27" i="3"/>
  <c r="P27" i="3"/>
  <c r="N27" i="3"/>
  <c r="L27" i="3"/>
  <c r="P18" i="3"/>
  <c r="L18" i="3"/>
  <c r="N18" i="3"/>
  <c r="J18" i="3"/>
  <c r="O32" i="3" l="1"/>
  <c r="P32" i="3"/>
  <c r="K32" i="3"/>
  <c r="L32" i="3"/>
  <c r="I32" i="3"/>
  <c r="J32" i="3"/>
  <c r="S32" i="3"/>
  <c r="T32" i="3"/>
  <c r="M32" i="3"/>
  <c r="N32" i="3"/>
  <c r="Q32" i="3"/>
  <c r="R32" i="3"/>
  <c r="U32" i="3" l="1"/>
</calcChain>
</file>

<file path=xl/sharedStrings.xml><?xml version="1.0" encoding="utf-8"?>
<sst xmlns="http://schemas.openxmlformats.org/spreadsheetml/2006/main" count="354" uniqueCount="215">
  <si>
    <t>un</t>
  </si>
  <si>
    <t>m</t>
  </si>
  <si>
    <t>m3</t>
  </si>
  <si>
    <t>m2</t>
  </si>
  <si>
    <t>11.0</t>
  </si>
  <si>
    <t>12.0</t>
  </si>
  <si>
    <t>Total do ìtem</t>
  </si>
  <si>
    <t>Total Geral:</t>
  </si>
  <si>
    <t>4.0</t>
  </si>
  <si>
    <t>Alvenaria</t>
  </si>
  <si>
    <t>5.0</t>
  </si>
  <si>
    <t>Cobertura</t>
  </si>
  <si>
    <t>6.0</t>
  </si>
  <si>
    <t>Impermeabilização</t>
  </si>
  <si>
    <t>7.0</t>
  </si>
  <si>
    <t>8.0</t>
  </si>
  <si>
    <t>Piso</t>
  </si>
  <si>
    <t>LDI</t>
  </si>
  <si>
    <t>Descrição dos serviços</t>
  </si>
  <si>
    <t>Código</t>
  </si>
  <si>
    <t>Custo Direto</t>
  </si>
  <si>
    <t>P. Unit.</t>
  </si>
  <si>
    <t>Total</t>
  </si>
  <si>
    <t>Quant.</t>
  </si>
  <si>
    <t>Und.</t>
  </si>
  <si>
    <t xml:space="preserve">Planilha orçamentária </t>
  </si>
  <si>
    <t>Serviços Preliminares</t>
  </si>
  <si>
    <t>1.0</t>
  </si>
  <si>
    <t>2.0</t>
  </si>
  <si>
    <t>Revestimento</t>
  </si>
  <si>
    <t>10.0</t>
  </si>
  <si>
    <t>Limpeza</t>
  </si>
  <si>
    <t>Valor</t>
  </si>
  <si>
    <t>30 dias</t>
  </si>
  <si>
    <t>60 dias</t>
  </si>
  <si>
    <t>%</t>
  </si>
  <si>
    <t>R$</t>
  </si>
  <si>
    <t>Cronograma Físico-financeiro.</t>
  </si>
  <si>
    <t>m²</t>
  </si>
  <si>
    <t>Instalação Elétrica</t>
  </si>
  <si>
    <t>Item</t>
  </si>
  <si>
    <t>kg</t>
  </si>
  <si>
    <t xml:space="preserve"> </t>
  </si>
  <si>
    <t>ajuste inpc</t>
  </si>
  <si>
    <t>CNPJ 10.716.738/0001-03</t>
  </si>
  <si>
    <t>Armação de pilar ou viga de uma estrutura convencional de concreto armado em um edifício de multiplos pavimentos utilizando aço CA-60 de 5.0 mm - montagem</t>
  </si>
  <si>
    <t>Armação de pilar ou viga de uma estrutura convencional de concreto armado em um edifício de multiplos pavimentos utilizando aço CA-60 de 10.0 mm - montagem</t>
  </si>
  <si>
    <t>Alvenaria de vedação de bloco cerâmicos furados na vertical de 9x19x39 cm (espessura 9cm) e argamassa de assentamento com preparo em betoneira</t>
  </si>
  <si>
    <t>Rasgo em alvenaria para ramais / distribuição com diâmetros menores ou iguais a 40 mm</t>
  </si>
  <si>
    <t>Chumbamento linear em alvenaria para ramais / distribuição com diâmetros menores ou iguais a 40 mm</t>
  </si>
  <si>
    <t>Chapisco aplicado em alvenarias e estruturas de concreto internas, com colher de pedreiro. Argamassa traço 1:3 com preparo em betoneira 400L</t>
  </si>
  <si>
    <t xml:space="preserve">Montagem e desmontagem de andaime tubular tipo torre. </t>
  </si>
  <si>
    <t>Esquadrias</t>
  </si>
  <si>
    <t xml:space="preserve">un </t>
  </si>
  <si>
    <t xml:space="preserve">kit de porta de madeira para pintura, semi-oca ( Leve ou Média ), padrão popular , 80x210cm, espessura de 3,50 cm, itens inclusos: dobradiças, montagem e istalação do batente, fechadura com execução do furo, fornecimento e instalação. </t>
  </si>
  <si>
    <t>Instalação Hidráulica e Sanitária</t>
  </si>
  <si>
    <t>3.0</t>
  </si>
  <si>
    <t>9.0</t>
  </si>
  <si>
    <t>Obra: Câmara Municipal de Alta Floresta.</t>
  </si>
  <si>
    <t>Endereço:  Avenida Ariosto da Riva, Lote AC 18/2, Canteiro Central, Alta Floresta MT.</t>
  </si>
  <si>
    <t>Tubo PVC, série r, água pluvial, DN 50 mm, fornecimento e instalação em condutores verticais de águas pluviais.</t>
  </si>
  <si>
    <t>Pintura ( Paredes internas e forro )</t>
  </si>
  <si>
    <t>Remoção de telhas de fibrocimento, metálica e cerâmica, de forma mecânizada, com uso de guindastes, sem reaproveitamento.</t>
  </si>
  <si>
    <t>Remoção de trama de madeira para cobertura, de forma manual, sem reaproveitamento.</t>
  </si>
  <si>
    <t xml:space="preserve">Remoção de tesouras de madeira, com vão maior ou igual a 8m de forma mecanizada, com reaproveitamento. </t>
  </si>
  <si>
    <r>
      <t>Fabricação de fôrma para pilares e estruturas similares, em madeira serrada,  E=25mm.</t>
    </r>
    <r>
      <rPr>
        <b/>
        <sz val="10"/>
        <rFont val="Arial"/>
        <family val="2"/>
      </rPr>
      <t xml:space="preserve"> </t>
    </r>
  </si>
  <si>
    <t>Laje pré-moldada unidirecional, biapoiada, para piso, enchimento em cerâmica, vigota vonvencional, altura total da laje (enchimento + capa) ( 8+4).</t>
  </si>
  <si>
    <t>Fabricação de forma para laje, em madeira serrada, E=25 mm.</t>
  </si>
  <si>
    <t>Armação de laje de uma estrutura convencional de concreto armado em um edifício de multiplos pavimentos utilizando aço CA-60 de 4,2 mm com montagem.</t>
  </si>
  <si>
    <t>Concreto FCK = 30MPA, traço 1:2,1:25 (cimento / areia média / brita 1) - preparo mecanico com betoneira 400 L</t>
  </si>
  <si>
    <t xml:space="preserve">Verga Moldada in loco em concreto para janelas com até 1,50 m de vão. </t>
  </si>
  <si>
    <t>Montagem e desmontagem de andaime modular fachadeiro, com piso metálico, para edificações com multiplos pavimentos (exclusive andaime e limpeza)</t>
  </si>
  <si>
    <t xml:space="preserve">Fabricação e instalação de tesoura inteira em aço, vão de 10 m, para telha ondulada de fibrocimento, metálicas, plástica ou termoacustica, incluso içamento. </t>
  </si>
  <si>
    <t>Trama de aço composta por terças para telhados de até 2 águas para telha ondulada de fibrocimento, metálica, plastica ou termoacústica, incluso transporte vertical.</t>
  </si>
  <si>
    <t xml:space="preserve">Telhamento com telha metálica termacústica e= 30 mm, com até 2 águas, incluso içamento. </t>
  </si>
  <si>
    <t>Calha em chapa de aço galvanizado número 24, desenvolvimento de 100 cm, incluso transporte vertical.</t>
  </si>
  <si>
    <t xml:space="preserve">Forro em drywall, para ambientes comerciais, inclusive estrtura de fixação. </t>
  </si>
  <si>
    <t>Acabemento para forro (moldura em drywall, com largura de 15 cm).</t>
  </si>
  <si>
    <r>
      <t>Rufo externo/interno em chapa de aço galvanizado número 26, corte de 33 cm, incluso içamento,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(será utilizado como cumeeira)</t>
    </r>
  </si>
  <si>
    <t xml:space="preserve">Impermeabilização de piso com argamassa de cimento e areia, com aditivo impermeabilizante, e = 2 cm. </t>
  </si>
  <si>
    <t>Janela de alumínio tipo maxim-ar, com vidros, batente e ferragens, exclusive alizar, acabamento e contramarco, fornecimento e instalação.</t>
  </si>
  <si>
    <t xml:space="preserve">kit de porta de madeira para pintura, semi-oca ( Leve ou Média ), padrão popular ,70x210cm, espessura de 3,50 cm, itens inclusos: dobradiças, montagem e istalação do batente, fechadura com execução do furo, fornecimento e instalação. </t>
  </si>
  <si>
    <t xml:space="preserve">kit de porta de madeira para pintura, semi-oca ( Leve ou Média ), padrão popular ,90x210cm, espessura de 3,50 cm, itens inclusos: dobradiças, montagem e istalação do batente, fechadura com execução do furo, fornecimento e instalação. </t>
  </si>
  <si>
    <t>Revestimento cerâmico para piso com placas tipo porcelanato de dimensões 60 x 60 cm aplicada em ambientes de área maior que 10 m².</t>
  </si>
  <si>
    <t>Pintura em verniz incolor alquídico em madeira, uso interno, 1 demão. (Portas Internas)</t>
  </si>
  <si>
    <t>Textura acrílica, aplicação manual em parede, uma demão. (Fachada)</t>
  </si>
  <si>
    <t>Colocação de tela em andaime fachadeiro.</t>
  </si>
  <si>
    <t xml:space="preserve">Caixa sifonada PVC, 150x185x75 mm, junta elastica, fornecimento e instalação em ramal de descarga ou em ramal de esgoto sanitário. </t>
  </si>
  <si>
    <t>Redução excentrica, PVC, serie R, água pluvial, DN 75 x 50 mm,  junta elástica, fornecimento e instalação em ramal de encaminhamento.</t>
  </si>
  <si>
    <t xml:space="preserve">Tubo, pvc, soldável, DN 25 mm, intalado em reservação de água de edificação que possua reservatório de fibra/fibrocimento, fornecimento e instalação. </t>
  </si>
  <si>
    <t xml:space="preserve">Tubo, pvc, soldável, DN 32 mm, intalado em reservação de água de edificação que possua reservatório de fibra/fibrocimento, fornecimento e instalação. </t>
  </si>
  <si>
    <t>Torneira de boia para caixa dágua, roscável, 3/4" - forneciemto e instalação.</t>
  </si>
  <si>
    <t xml:space="preserve">Adaptador com flange e anel de vedação, pvc, soldável, DN 32 mm x 1, instalado em reservação de água de edificação que possua reservatório de fibra/fibrocimento - fornecimento e instalação.  </t>
  </si>
  <si>
    <t xml:space="preserve">Joelho 90 graus, pvc, soldável, DN 50 mm, instalação em ramal ou sub-ramal de água, fornecimento e instalação. </t>
  </si>
  <si>
    <t>Registro de gaveta bruto, latão, roscável, 1 1/2', com acabamento e canopla cromados - fornecimento e instalação.</t>
  </si>
  <si>
    <t>Registro de gaveta bruto, latão, roscável, 2 1/2",  - fornecimento e instalação.</t>
  </si>
  <si>
    <t>Válvula de descarga metálica, base 1 1/2", acabamento metálico cromado - fornecimento e instalação</t>
  </si>
  <si>
    <t>Adaptador curto com bolsa e rosca para registro, pvc, soldável, DN 32 mm x 1, instalado em ramal de distribuição de água - fornecimento e instalação.</t>
  </si>
  <si>
    <t>Adaptador curto com bolsa e rosca para registro, pvc, soldável, DN 50 mm x 1.1/4, instalado em plumada de água - fornecimento e instalação.</t>
  </si>
  <si>
    <t>Te, pvc, soldável, DN 32mm, instalado em prumada de água - Fornecimento e instalação.</t>
  </si>
  <si>
    <t>Luva de redução, pvc, soldável, DN 40mm x 32 mm, instalado em ramal ou sub-ramal de água - fornecimento e instalação.</t>
  </si>
  <si>
    <t>Torneira de tudo móvel, de parede, 1/2 ou 3/4, para pia de cozinha, padrão médio - fornecimento e instalação.</t>
  </si>
  <si>
    <t>Torneira cromada de mesa, 1/2 ou 3/4, para lavatório, padrão médio - fornecimento e instalação.</t>
  </si>
  <si>
    <t>Cuba de embutir de aço inoxidável média, incluso válvula tipo americana e sifão tipoo garrafa em metal cromado - fornecimento e intalação</t>
  </si>
  <si>
    <t>Vaso sanitário sifonado convencional com louça branca, incluso cunjunto de ligação para bacia sanitária ajustável - fornecimento e instalação</t>
  </si>
  <si>
    <t>Assento sanitário convencional - fornecimento e intalação</t>
  </si>
  <si>
    <t>Mictório sifonado louça branca padrão médio. - fornecimento e intalação</t>
  </si>
  <si>
    <t>Barra de apoio em "L", em aço inox polido 70 x 70 cm, fixada na parede - fornecimento e instalação.</t>
  </si>
  <si>
    <t>Registro de esfera, PVC, soldável, com volante, DN 32 mm - fornecimento e instalação.</t>
  </si>
  <si>
    <t>Registro de esfera, PVC, soldável, com volante, DN 50 mm - fornecimento e instalação.</t>
  </si>
  <si>
    <t>Tubo de pvc, série r, água pluvial, DN 75 mm, fornecimento e instalado em ramal de encaminhamento.</t>
  </si>
  <si>
    <t>Tubo de pvc, série r, água pluvial, DN 100 mm, fornecimento e instalado em ramal de encaminhamento.</t>
  </si>
  <si>
    <t xml:space="preserve">Tubo pvc, série normal, esgoto predial, DN 100 mm, fornecimento e intalado em ramal de descarga ou ramal de esgoto sanitário. </t>
  </si>
  <si>
    <t xml:space="preserve">Tubo pvc, série normal, esgoto predial, DN 50 mm, fornecimento e intalado em ramal de descarga ou ramal de esgoto sanitário. </t>
  </si>
  <si>
    <t>Joelho 90 graus, PVC, serie R, água pluvial, DN 75 mm, junta elástica, fornecimento e instalado em condutores verticais de águas pluviais.</t>
  </si>
  <si>
    <t xml:space="preserve">Redução excêntrica, PVC, série R, água pluvial, DN 100 x 75 mm, Junta elástica, fonrecido e instalado em condutores verticais de água pluvais. </t>
  </si>
  <si>
    <t xml:space="preserve">Caixa sifonada, pvc, DN 100 x 100 x 50 mm, junta elástica, fornecida e isntalada em ramal de descarga ou em ramal de esgoto sanitário. </t>
  </si>
  <si>
    <t>Válvula em  metal cromado tipo americana 3.1/2 x 1.1/2 para pia - fornecimento e instalação</t>
  </si>
  <si>
    <t>Sifão do tipo flexível em pvc 1 x 1.1/2 - fornecimento e instalação.</t>
  </si>
  <si>
    <t>Engate flexível em plástico branco, 1/2 x 40 cm - fornecimento e instalação.</t>
  </si>
  <si>
    <t xml:space="preserve">Tapa vista de mictório em mármore brando polido, esp = 3 cm, assentado com argamassa colante AC III-E. </t>
  </si>
  <si>
    <t>Caixa d'água em polietileno, 2000 litros - fornecimento e instalação.</t>
  </si>
  <si>
    <t>Luminaria tipo spot, de sobrepor, com 1 lâmpada de 15 w sem reator - fonecimento e instalação.</t>
  </si>
  <si>
    <t xml:space="preserve">Quadro de distribuição de energia em chapa de aço galvanizado, de embutir, com barramento trifásico, para 30 disjuntores dim 225A - forncimento e instalação. </t>
  </si>
  <si>
    <r>
      <t xml:space="preserve">Estrutura Pilares e laje </t>
    </r>
    <r>
      <rPr>
        <sz val="10"/>
        <rFont val="Arial"/>
        <family val="2"/>
      </rPr>
      <t>(Laje para piso será executada sobre vigas já existentes)</t>
    </r>
  </si>
  <si>
    <t xml:space="preserve">Montagem e desmontagem de fôrma de pilares e vigas retangulares e estrutras similares com área média das seções maior que 0,25m², Pé direito simples, em madeira serrada, 2 utilizações. </t>
  </si>
  <si>
    <t>90 dias</t>
  </si>
  <si>
    <t>120 dias</t>
  </si>
  <si>
    <t>150 dias</t>
  </si>
  <si>
    <t>180 dias</t>
  </si>
  <si>
    <t>Mangueira de Led para ambientes externos e fachada, branca de auto brilho, fornecimento e instalação.</t>
  </si>
  <si>
    <t>Bancada de granito cinza polido, de 1,50 x 0,60 m para pia de cozinha, fornecimento e instalação ( Pia da copa terreo 6 und e pia da copa do piso superior 4 und).</t>
  </si>
  <si>
    <t>Composição de Benefícios e Despesas Indiretas - BDI</t>
  </si>
  <si>
    <t>De acordo com o acordão 2622/2013 TCU-Critérios de aceitabilidade para lucros de despesas indiretas.</t>
  </si>
  <si>
    <t>Percentual</t>
  </si>
  <si>
    <t>ADMINISTRAÇÃO DA OBRA</t>
  </si>
  <si>
    <t>1.1</t>
  </si>
  <si>
    <t>1.2</t>
  </si>
  <si>
    <t>1.3</t>
  </si>
  <si>
    <t>1.4</t>
  </si>
  <si>
    <t>LUCRO</t>
  </si>
  <si>
    <t>2.1</t>
  </si>
  <si>
    <t>Lucro Operacional</t>
  </si>
  <si>
    <t>TRIBUTOS</t>
  </si>
  <si>
    <t>ISSQN - Imposto sobre serviço de qualquer naturesa.</t>
  </si>
  <si>
    <t>COFINS - Constribuição para Finaciamento da Seguridade Social.</t>
  </si>
  <si>
    <t>PIS - Programa de Integração Social.</t>
  </si>
  <si>
    <t>CPRB - Contribuição Previdenciária sobre a Receita Bruta, Lei nº 12.546/2013.</t>
  </si>
  <si>
    <t xml:space="preserve">Segundo o que determina a lei n° 8.666/93, adminte-se fixar o percentual de BDI, desde que seguindo as técnicas da Engenharia e Custos. </t>
  </si>
  <si>
    <t>TAXAS DE BDI A SER APLICADA SOBRE O CUSTO DIRETO</t>
  </si>
  <si>
    <t>AC  →  Administração Central</t>
  </si>
  <si>
    <t>S  →  Seguro</t>
  </si>
  <si>
    <t xml:space="preserve">R    →  Riscos </t>
  </si>
  <si>
    <t>G     →  Garantia</t>
  </si>
  <si>
    <t>DF    →  Despesas Financeiras</t>
  </si>
  <si>
    <t>L  →  Taxa de Lucro/Remuneração</t>
  </si>
  <si>
    <t>I  →  Incidência de Impostos (PIS, COFINS e ISS)</t>
  </si>
  <si>
    <t>Instalação de rede de telefone e internet.</t>
  </si>
  <si>
    <t>Placa de obra ( Para construção Civil) em chapa galvanizada nº22, adesivada, de 2,4 x 1,2 m.</t>
  </si>
  <si>
    <t xml:space="preserve">Curva 90 graus, PVC, soldável, DN 32 mm, instalação em ramal de distribuição de água, fornecimento e instalação. </t>
  </si>
  <si>
    <t>Cabo eletrônico categoria 6, instalado em edificação institucional - fornecimento e instalação</t>
  </si>
  <si>
    <t>Patch Painel - 48 portas, categora 6 - fornecimento e instalação.</t>
  </si>
  <si>
    <t>Tomada de rede RJ45 - fornecimento e instalação.</t>
  </si>
  <si>
    <t>Tomada para telefone RJ11 - Fornecimento e instalação.</t>
  </si>
  <si>
    <t xml:space="preserve">Cabo telefônico CCI-50 1 Par, sem blindagem, instalado em ditribuição de edificação institucional - fornecimento e instalação. </t>
  </si>
  <si>
    <t xml:space="preserve">Caixa de passagem para telefone 15x15x10 cm (sobrepor), fornecimento e instalação. </t>
  </si>
  <si>
    <t>Eletroduto flexivel corrugado, PVC, DN 32 mm (1"), para circuitos termanis, instalado em laje. Fornecimento e instalação.</t>
  </si>
  <si>
    <t>13.0</t>
  </si>
  <si>
    <t xml:space="preserve">Contrapiso em argamassa traço 1:4 (cimento e areia ) preparo mecânico com betoneira 400 L, aplicação em áreas secas sobre laje, aderido, acabamento não reforçado, espessura 2 cm. </t>
  </si>
  <si>
    <t>Ampliação do pavimento superior a ser construído com área de 642,89m²</t>
  </si>
  <si>
    <t>M3</t>
  </si>
  <si>
    <t xml:space="preserve">m </t>
  </si>
  <si>
    <t>"Escada" Piso em granito aplicado em ambientes internos</t>
  </si>
  <si>
    <t xml:space="preserve">Fabricação de forma para escadas, com 2 lances em "L" e laje palna, em chapa de madeira serrada, E=25mm. </t>
  </si>
  <si>
    <t>Escada em concreto armado moldado "in loco", fck 20 MPA, com 2 lances em "L" e laje plana, forma em chapa de madeira compensada resinada.</t>
  </si>
  <si>
    <t>Demolição de lajes, de forma mecânizada com martelete, sem reaproveitamento.</t>
  </si>
  <si>
    <t>m³</t>
  </si>
  <si>
    <t>LDI = 29,79%</t>
  </si>
  <si>
    <r>
      <t xml:space="preserve">Administração Central - </t>
    </r>
    <r>
      <rPr>
        <b/>
        <i/>
        <sz val="10"/>
        <rFont val="Arial"/>
        <family val="2"/>
      </rPr>
      <t>AC</t>
    </r>
  </si>
  <si>
    <r>
      <t xml:space="preserve">Seguros - </t>
    </r>
    <r>
      <rPr>
        <b/>
        <i/>
        <sz val="10"/>
        <rFont val="Arial"/>
        <family val="2"/>
      </rPr>
      <t>S</t>
    </r>
  </si>
  <si>
    <r>
      <t xml:space="preserve">Riscos - </t>
    </r>
    <r>
      <rPr>
        <b/>
        <i/>
        <sz val="10"/>
        <rFont val="Arial"/>
        <family val="2"/>
      </rPr>
      <t>R</t>
    </r>
  </si>
  <si>
    <r>
      <t xml:space="preserve">Garantias - </t>
    </r>
    <r>
      <rPr>
        <b/>
        <i/>
        <sz val="10"/>
        <rFont val="Arial"/>
        <family val="2"/>
      </rPr>
      <t>G</t>
    </r>
  </si>
  <si>
    <r>
      <t xml:space="preserve">Despesas Financeiras - </t>
    </r>
    <r>
      <rPr>
        <b/>
        <i/>
        <sz val="10"/>
        <rFont val="Arial"/>
        <family val="2"/>
      </rPr>
      <t>DF</t>
    </r>
  </si>
  <si>
    <t>1.5</t>
  </si>
  <si>
    <t xml:space="preserve">Execução de almoxarifado em canteiro de obra em chapa de madeira compensada, incluso prateleiras. </t>
  </si>
  <si>
    <t xml:space="preserve">Execução de central de fôrma, procução de argamassa ou concreto em canteiro de obra, não incluso mobiliário e equipamentos. </t>
  </si>
  <si>
    <t>Tapume com telha metálica.</t>
  </si>
  <si>
    <t>Limpeza de contrapiso com vassoura a seco.</t>
  </si>
  <si>
    <t xml:space="preserve">Limpeza de piso cerâmico ou porcelanato utilizando detergente neutro e escovação manual. </t>
  </si>
  <si>
    <t xml:space="preserve">Limpeza de janela inteiramente de vidro. </t>
  </si>
  <si>
    <t>Administração da obra.</t>
  </si>
  <si>
    <t>Engenheiro Civil de obra junior com encargos complementares.</t>
  </si>
  <si>
    <t>h</t>
  </si>
  <si>
    <t>Mestre de obras com engargos complementares</t>
  </si>
  <si>
    <t>Topografo com encargos complementáres.</t>
  </si>
  <si>
    <t>mês</t>
  </si>
  <si>
    <t>14.0</t>
  </si>
  <si>
    <t>Instalação de vidro laminado, e = 8 mm, (4+4), encaixado em perfil U. ( Pele de vidro na fachada)</t>
  </si>
  <si>
    <t xml:space="preserve">Estrutura de madeira provisória para suporte de caixa dágua elevada de 3.000 litros. </t>
  </si>
  <si>
    <t xml:space="preserve">Guarda-corpo de aço galvanizado de 1,10 m de altura, montantes tubulares de 1.1/4", espaçados de 1,20m, travessa superior de 1.1/2", gradil formado por tudos horizontais de 1", e verticais de 3/4", fixado com chumbador mecânico. </t>
  </si>
  <si>
    <t xml:space="preserve">Massa única, para recebimento de pintura, em argamassa traço 1:2:8, prepara mecânico com betoneira 400L, aplicada manualmente em faces internas de paredes, espessura de 20mm, com execução de taliscas. </t>
  </si>
  <si>
    <t>BOLETIM SINAPI Junho - 2023.</t>
  </si>
  <si>
    <t>Revestimento cerâmico para paredes internas com placas tipo esmaltada extra de dimensões 25 x 35 cm aplicadas na altura inteira das paredes.</t>
  </si>
  <si>
    <t>Pintura latex acrílica premium. Aplicação manual em paredes, duas demãos.</t>
  </si>
  <si>
    <t xml:space="preserve">Emassamento com massa látex, aplicação em parede, duas demãos, lixamento manual. </t>
  </si>
  <si>
    <t>Disjuntor tripolar termomagnetico 125 A</t>
  </si>
  <si>
    <t>Distuntor monopolar tipo Din, correnten nominal de 10A - Fonecimento e instalação.</t>
  </si>
  <si>
    <t>Disjuntor monopolar tipo Din, corente nominal de 40A - fornecimento e instalação.</t>
  </si>
  <si>
    <t>Disjuntor bipolar tipo Din, conrrente nominal de 10A - fornecimento e instalação.</t>
  </si>
  <si>
    <t>Disjuntor bipolar tipo Din, conrrente nominal de 16A - fornecimento e instalação.</t>
  </si>
  <si>
    <t>Dispositivo DPS Classe II, 1 polo, tensão máxima de 175V, corrente máxima de *20*KA (tipo AC).</t>
  </si>
  <si>
    <t>Cabo de cobre flexivel isolado, 10 mm², 0,6/1,0 kv, para rede aérea de distribuição de energia elétrica de baixa tensão - fornecimento e intalação.</t>
  </si>
  <si>
    <t xml:space="preserve">Composição paramétrica de ponto elétrico de iluminação, com interruptor paralelo, em edifícilo residencial com eletrotudo embutido em rasgos nas paredes, incluindo caixa elétrica, módulo de tomada,  eletroduto, cabo, rasgo, quebra e chumbamento (sem Luminária e lâmpada). </t>
  </si>
  <si>
    <t>Cabo de cobre flexível isolado, 35 mm², anti - chama 0,6 / 1,0 KV, para rede enterrada de distribuição de energia elétrica - fornecimento e instalação.</t>
  </si>
  <si>
    <t>'''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</si>
</sst>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&quot;-&quot;??_);_(@_)"/>
    <numFmt numFmtId="165" formatCode="#.##000"/>
    <numFmt numFmtId="166" formatCode="\$#,#00"/>
    <numFmt numFmtId="167" formatCode="m\o\n\th\ d\,\ \y\y\y\y"/>
    <numFmt numFmtId="168" formatCode="_([$€-2]* #,##0.00_);_([$€-2]* \(#,##0.00\);_([$€-2]* &quot;-&quot;??_)"/>
    <numFmt numFmtId="169" formatCode="#,#00"/>
    <numFmt numFmtId="170" formatCode="#,"/>
    <numFmt numFmtId="171" formatCode="_(&quot;R$ &quot;* #,##0.00_);_(&quot;R$ &quot;* \(#,##0.00\);_(&quot;R$ &quot;* &quot;-&quot;??_);_(@_)"/>
    <numFmt numFmtId="172" formatCode="_-* #,##0.00\ &quot;R$&quot;_-;\-* #,##0.00\ &quot;R$&quot;_-;_-* &quot;-&quot;??\ &quot;R$&quot;_-;_-@_-"/>
    <numFmt numFmtId="173" formatCode="%#,#00"/>
    <numFmt numFmtId="174" formatCode="&quot;R$ &quot;#,##0_);\(&quot;R$ &quot;#,##0\)"/>
    <numFmt numFmtId="175" formatCode="_(* #,##0.00_);_(* \(#,##0.00\);_(* \-??_);_(@_)"/>
  </numFmts>
  <fonts count="4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sz val="14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u/>
      <sz val="16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Bitstream Vera Sans"/>
    </font>
    <font>
      <sz val="10"/>
      <color rgb="FFFF0000"/>
      <name val="Arial"/>
      <family val="2"/>
    </font>
    <font>
      <b/>
      <i/>
      <sz val="10"/>
      <color rgb="FFFF0000"/>
      <name val="Arial"/>
      <family val="2"/>
    </font>
    <font>
      <sz val="26"/>
      <name val="Arial"/>
      <family val="2"/>
    </font>
    <font>
      <sz val="10"/>
      <name val="Arial"/>
    </font>
    <font>
      <b/>
      <sz val="14"/>
      <name val="Arial"/>
      <family val="2"/>
    </font>
    <font>
      <sz val="7"/>
      <name val="Arial"/>
      <family val="2"/>
    </font>
    <font>
      <sz val="11"/>
      <color indexed="8"/>
      <name val="Calibri"/>
      <family val="2"/>
    </font>
    <font>
      <b/>
      <sz val="14"/>
      <name val="Arial Narrow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32"/>
      </top>
      <bottom style="double">
        <color indexed="32"/>
      </bottom>
      <diagonal/>
    </border>
  </borders>
  <cellStyleXfs count="211">
    <xf numFmtId="0" fontId="0" fillId="0" borderId="0"/>
    <xf numFmtId="164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7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3" fillId="7" borderId="0" applyNumberFormat="0" applyBorder="0" applyAlignment="0" applyProtection="0"/>
    <xf numFmtId="0" fontId="23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3" fillId="7" borderId="0" applyNumberFormat="0" applyBorder="0" applyAlignment="0" applyProtection="0"/>
    <xf numFmtId="0" fontId="23" fillId="14" borderId="0" applyNumberFormat="0" applyBorder="0" applyAlignment="0" applyProtection="0"/>
    <xf numFmtId="0" fontId="27" fillId="14" borderId="0" applyNumberFormat="0" applyBorder="0" applyAlignment="0" applyProtection="0"/>
    <xf numFmtId="0" fontId="28" fillId="15" borderId="0" applyNumberFormat="0" applyBorder="0" applyAlignment="0" applyProtection="0"/>
    <xf numFmtId="0" fontId="29" fillId="16" borderId="95" applyNumberFormat="0" applyAlignment="0" applyProtection="0"/>
    <xf numFmtId="0" fontId="2" fillId="0" borderId="0"/>
    <xf numFmtId="0" fontId="30" fillId="9" borderId="96" applyNumberFormat="0" applyAlignment="0" applyProtection="0"/>
    <xf numFmtId="165" fontId="31" fillId="0" borderId="0">
      <protection locked="0"/>
    </xf>
    <xf numFmtId="3" fontId="2" fillId="0" borderId="0" applyFont="0" applyFill="0" applyBorder="0" applyAlignment="0" applyProtection="0"/>
    <xf numFmtId="166" fontId="31" fillId="0" borderId="0">
      <protection locked="0"/>
    </xf>
    <xf numFmtId="3" fontId="2" fillId="0" borderId="0" applyFont="0" applyFill="0" applyBorder="0" applyAlignment="0" applyProtection="0"/>
    <xf numFmtId="167" fontId="31" fillId="0" borderId="0">
      <protection locked="0"/>
    </xf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4" fillId="0" borderId="47" applyFill="0" applyBorder="0" applyProtection="0">
      <alignment horizontal="center" vertical="center"/>
    </xf>
    <xf numFmtId="168" fontId="2" fillId="0" borderId="0" applyFont="0" applyFill="0" applyBorder="0" applyAlignment="0" applyProtection="0"/>
    <xf numFmtId="169" fontId="31" fillId="0" borderId="0">
      <protection locked="0"/>
    </xf>
    <xf numFmtId="0" fontId="32" fillId="10" borderId="0" applyNumberFormat="0" applyBorder="0" applyAlignment="0" applyProtection="0"/>
    <xf numFmtId="0" fontId="33" fillId="0" borderId="97" applyNumberFormat="0" applyFill="0" applyAlignment="0" applyProtection="0"/>
    <xf numFmtId="0" fontId="34" fillId="0" borderId="98" applyNumberFormat="0" applyFill="0" applyAlignment="0" applyProtection="0"/>
    <xf numFmtId="0" fontId="35" fillId="0" borderId="99" applyNumberFormat="0" applyFill="0" applyAlignment="0" applyProtection="0"/>
    <xf numFmtId="0" fontId="35" fillId="0" borderId="0" applyNumberFormat="0" applyFill="0" applyBorder="0" applyAlignment="0" applyProtection="0"/>
    <xf numFmtId="170" fontId="36" fillId="0" borderId="0">
      <protection locked="0"/>
    </xf>
    <xf numFmtId="170" fontId="36" fillId="0" borderId="0"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8" fillId="14" borderId="95" applyNumberFormat="0" applyAlignment="0" applyProtection="0"/>
    <xf numFmtId="0" fontId="39" fillId="0" borderId="100" applyNumberFormat="0" applyFill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40" fillId="2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7" borderId="101" applyNumberFormat="0" applyFont="0" applyAlignment="0" applyProtection="0"/>
    <xf numFmtId="0" fontId="41" fillId="16" borderId="102" applyNumberFormat="0" applyAlignment="0" applyProtection="0"/>
    <xf numFmtId="173" fontId="31" fillId="0" borderId="0">
      <protection locked="0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1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3" fillId="0" borderId="103" applyNumberFormat="0" applyFont="0" applyAlignment="0" applyProtection="0"/>
    <xf numFmtId="43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43" fillId="0" borderId="0"/>
    <xf numFmtId="0" fontId="23" fillId="0" borderId="0"/>
  </cellStyleXfs>
  <cellXfs count="274">
    <xf numFmtId="0" fontId="0" fillId="0" borderId="0" xfId="0"/>
    <xf numFmtId="4" fontId="0" fillId="0" borderId="0" xfId="0" applyNumberFormat="1"/>
    <xf numFmtId="0" fontId="5" fillId="0" borderId="1" xfId="0" applyFont="1" applyBorder="1" applyAlignment="1">
      <alignment horizontal="center"/>
    </xf>
    <xf numFmtId="49" fontId="3" fillId="0" borderId="0" xfId="0" applyNumberFormat="1" applyFont="1" applyAlignment="1">
      <alignment horizontal="right"/>
    </xf>
    <xf numFmtId="4" fontId="0" fillId="0" borderId="2" xfId="0" applyNumberFormat="1" applyBorder="1"/>
    <xf numFmtId="0" fontId="5" fillId="0" borderId="1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0" fontId="0" fillId="0" borderId="5" xfId="0" applyBorder="1"/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0" fillId="0" borderId="7" xfId="0" applyBorder="1"/>
    <xf numFmtId="0" fontId="0" fillId="0" borderId="7" xfId="0" applyBorder="1" applyAlignment="1">
      <alignment horizontal="center"/>
    </xf>
    <xf numFmtId="4" fontId="0" fillId="0" borderId="7" xfId="0" applyNumberFormat="1" applyBorder="1"/>
    <xf numFmtId="0" fontId="0" fillId="0" borderId="0" xfId="0" applyAlignment="1">
      <alignment horizontal="left"/>
    </xf>
    <xf numFmtId="0" fontId="10" fillId="0" borderId="0" xfId="0" applyFont="1"/>
    <xf numFmtId="0" fontId="9" fillId="0" borderId="0" xfId="0" applyFont="1"/>
    <xf numFmtId="0" fontId="5" fillId="0" borderId="2" xfId="0" applyFont="1" applyBorder="1" applyAlignment="1">
      <alignment horizontal="left" vertical="justify"/>
    </xf>
    <xf numFmtId="164" fontId="0" fillId="0" borderId="0" xfId="1" applyFont="1"/>
    <xf numFmtId="0" fontId="0" fillId="0" borderId="6" xfId="0" applyBorder="1"/>
    <xf numFmtId="0" fontId="5" fillId="0" borderId="2" xfId="0" quotePrefix="1" applyFont="1" applyBorder="1" applyAlignment="1">
      <alignment horizontal="left" vertical="justify"/>
    </xf>
    <xf numFmtId="164" fontId="0" fillId="0" borderId="9" xfId="1" applyFont="1" applyBorder="1"/>
    <xf numFmtId="164" fontId="0" fillId="0" borderId="10" xfId="1" applyFont="1" applyBorder="1"/>
    <xf numFmtId="164" fontId="0" fillId="0" borderId="11" xfId="1" applyFont="1" applyBorder="1"/>
    <xf numFmtId="164" fontId="5" fillId="0" borderId="1" xfId="1" applyFont="1" applyBorder="1" applyAlignment="1">
      <alignment horizontal="center"/>
    </xf>
    <xf numFmtId="0" fontId="5" fillId="0" borderId="2" xfId="0" applyFont="1" applyBorder="1" applyAlignment="1">
      <alignment horizontal="right" vertical="justify"/>
    </xf>
    <xf numFmtId="0" fontId="5" fillId="0" borderId="2" xfId="0" quotePrefix="1" applyFont="1" applyBorder="1" applyAlignment="1">
      <alignment horizontal="center"/>
    </xf>
    <xf numFmtId="4" fontId="5" fillId="0" borderId="2" xfId="0" applyNumberFormat="1" applyFont="1" applyBorder="1"/>
    <xf numFmtId="164" fontId="5" fillId="0" borderId="12" xfId="1" applyFont="1" applyBorder="1"/>
    <xf numFmtId="0" fontId="4" fillId="0" borderId="14" xfId="0" quotePrefix="1" applyFont="1" applyBorder="1" applyAlignment="1">
      <alignment horizontal="left" vertical="justify"/>
    </xf>
    <xf numFmtId="0" fontId="0" fillId="0" borderId="14" xfId="0" applyBorder="1" applyAlignment="1">
      <alignment horizontal="right" vertical="justify"/>
    </xf>
    <xf numFmtId="164" fontId="4" fillId="0" borderId="15" xfId="1" quotePrefix="1" applyFont="1" applyBorder="1" applyAlignment="1">
      <alignment horizontal="left" vertical="justify"/>
    </xf>
    <xf numFmtId="164" fontId="5" fillId="0" borderId="12" xfId="1" quotePrefix="1" applyFont="1" applyBorder="1" applyAlignment="1">
      <alignment horizontal="left" vertical="justify"/>
    </xf>
    <xf numFmtId="0" fontId="4" fillId="0" borderId="18" xfId="0" quotePrefix="1" applyFont="1" applyBorder="1" applyAlignment="1">
      <alignment horizontal="left" vertical="justify"/>
    </xf>
    <xf numFmtId="164" fontId="4" fillId="0" borderId="19" xfId="1" quotePrefix="1" applyFont="1" applyBorder="1" applyAlignment="1">
      <alignment horizontal="left" vertical="justify"/>
    </xf>
    <xf numFmtId="0" fontId="5" fillId="0" borderId="6" xfId="0" applyFont="1" applyBorder="1" applyAlignment="1">
      <alignment horizontal="center"/>
    </xf>
    <xf numFmtId="164" fontId="5" fillId="0" borderId="9" xfId="1" applyFont="1" applyBorder="1" applyAlignment="1">
      <alignment horizontal="center"/>
    </xf>
    <xf numFmtId="164" fontId="0" fillId="0" borderId="0" xfId="0" applyNumberFormat="1"/>
    <xf numFmtId="164" fontId="5" fillId="0" borderId="2" xfId="0" quotePrefix="1" applyNumberFormat="1" applyFont="1" applyBorder="1" applyAlignment="1">
      <alignment horizontal="left" vertical="justify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4" fontId="4" fillId="0" borderId="22" xfId="0" applyNumberFormat="1" applyFont="1" applyBorder="1"/>
    <xf numFmtId="0" fontId="4" fillId="0" borderId="22" xfId="0" quotePrefix="1" applyFont="1" applyBorder="1" applyAlignment="1">
      <alignment horizontal="left" vertical="justify"/>
    </xf>
    <xf numFmtId="0" fontId="4" fillId="0" borderId="23" xfId="0" quotePrefix="1" applyFont="1" applyBorder="1" applyAlignment="1">
      <alignment horizontal="left" vertical="justify"/>
    </xf>
    <xf numFmtId="0" fontId="6" fillId="0" borderId="22" xfId="0" quotePrefix="1" applyFont="1" applyBorder="1" applyAlignment="1">
      <alignment horizontal="left" vertical="justify"/>
    </xf>
    <xf numFmtId="0" fontId="4" fillId="0" borderId="24" xfId="0" quotePrefix="1" applyFont="1" applyBorder="1" applyAlignment="1">
      <alignment horizontal="left" vertical="justify"/>
    </xf>
    <xf numFmtId="0" fontId="5" fillId="0" borderId="26" xfId="0" applyFont="1" applyBorder="1" applyAlignment="1">
      <alignment horizontal="center"/>
    </xf>
    <xf numFmtId="164" fontId="6" fillId="0" borderId="27" xfId="1" applyFont="1" applyBorder="1" applyAlignment="1">
      <alignment horizontal="center"/>
    </xf>
    <xf numFmtId="164" fontId="4" fillId="0" borderId="28" xfId="1" quotePrefix="1" applyFont="1" applyBorder="1" applyAlignment="1">
      <alignment horizontal="left" vertical="justify"/>
    </xf>
    <xf numFmtId="164" fontId="4" fillId="0" borderId="29" xfId="1" quotePrefix="1" applyFont="1" applyBorder="1" applyAlignment="1">
      <alignment horizontal="left" vertical="justify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/>
    </xf>
    <xf numFmtId="164" fontId="5" fillId="0" borderId="32" xfId="1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164" fontId="5" fillId="0" borderId="34" xfId="1" applyFont="1" applyBorder="1" applyAlignment="1">
      <alignment horizontal="center"/>
    </xf>
    <xf numFmtId="0" fontId="5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left"/>
    </xf>
    <xf numFmtId="0" fontId="6" fillId="0" borderId="36" xfId="0" applyFont="1" applyBorder="1" applyAlignment="1">
      <alignment vertical="center"/>
    </xf>
    <xf numFmtId="0" fontId="4" fillId="0" borderId="37" xfId="0" quotePrefix="1" applyFont="1" applyBorder="1" applyAlignment="1">
      <alignment horizontal="left" vertical="justify"/>
    </xf>
    <xf numFmtId="0" fontId="4" fillId="0" borderId="36" xfId="0" quotePrefix="1" applyFont="1" applyBorder="1" applyAlignment="1">
      <alignment horizontal="left" vertical="justify"/>
    </xf>
    <xf numFmtId="0" fontId="4" fillId="0" borderId="38" xfId="0" quotePrefix="1" applyFont="1" applyBorder="1" applyAlignment="1">
      <alignment horizontal="left" vertical="justify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4" fillId="0" borderId="41" xfId="0" quotePrefix="1" applyFont="1" applyBorder="1" applyAlignment="1">
      <alignment horizontal="left" vertical="justify"/>
    </xf>
    <xf numFmtId="0" fontId="5" fillId="0" borderId="42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164" fontId="6" fillId="0" borderId="46" xfId="0" applyNumberFormat="1" applyFont="1" applyBorder="1" applyAlignment="1">
      <alignment horizontal="center"/>
    </xf>
    <xf numFmtId="164" fontId="4" fillId="0" borderId="46" xfId="0" quotePrefix="1" applyNumberFormat="1" applyFont="1" applyBorder="1" applyAlignment="1">
      <alignment horizontal="center"/>
    </xf>
    <xf numFmtId="0" fontId="6" fillId="0" borderId="47" xfId="0" applyFont="1" applyBorder="1" applyAlignment="1">
      <alignment horizontal="left" vertical="justify"/>
    </xf>
    <xf numFmtId="164" fontId="4" fillId="0" borderId="46" xfId="0" quotePrefix="1" applyNumberFormat="1" applyFont="1" applyBorder="1" applyAlignment="1">
      <alignment horizontal="left" vertical="justify"/>
    </xf>
    <xf numFmtId="0" fontId="4" fillId="0" borderId="48" xfId="0" applyFont="1" applyBorder="1" applyAlignment="1">
      <alignment horizontal="right" vertical="justify"/>
    </xf>
    <xf numFmtId="0" fontId="4" fillId="0" borderId="49" xfId="0" quotePrefix="1" applyFont="1" applyBorder="1" applyAlignment="1">
      <alignment horizontal="left" vertical="justify"/>
    </xf>
    <xf numFmtId="164" fontId="6" fillId="0" borderId="46" xfId="0" quotePrefix="1" applyNumberFormat="1" applyFont="1" applyBorder="1" applyAlignment="1">
      <alignment horizontal="left" vertical="justify"/>
    </xf>
    <xf numFmtId="0" fontId="4" fillId="0" borderId="50" xfId="0" quotePrefix="1" applyFont="1" applyBorder="1" applyAlignment="1">
      <alignment horizontal="left" vertical="justify"/>
    </xf>
    <xf numFmtId="0" fontId="4" fillId="0" borderId="51" xfId="0" quotePrefix="1" applyFont="1" applyBorder="1" applyAlignment="1">
      <alignment horizontal="left" vertical="justify"/>
    </xf>
    <xf numFmtId="0" fontId="5" fillId="0" borderId="52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164" fontId="4" fillId="0" borderId="36" xfId="1" applyFont="1" applyBorder="1" applyAlignment="1">
      <alignment horizontal="center"/>
    </xf>
    <xf numFmtId="164" fontId="4" fillId="0" borderId="36" xfId="1" applyFont="1" applyBorder="1"/>
    <xf numFmtId="164" fontId="4" fillId="0" borderId="36" xfId="1" quotePrefix="1" applyFont="1" applyBorder="1" applyAlignment="1">
      <alignment horizontal="left" vertical="justify"/>
    </xf>
    <xf numFmtId="0" fontId="5" fillId="0" borderId="53" xfId="0" applyFont="1" applyBorder="1" applyAlignment="1">
      <alignment horizontal="center"/>
    </xf>
    <xf numFmtId="0" fontId="5" fillId="0" borderId="54" xfId="0" applyFont="1" applyBorder="1" applyAlignment="1">
      <alignment horizontal="center"/>
    </xf>
    <xf numFmtId="164" fontId="4" fillId="0" borderId="55" xfId="1" applyFont="1" applyBorder="1" applyAlignment="1">
      <alignment horizontal="center"/>
    </xf>
    <xf numFmtId="164" fontId="4" fillId="0" borderId="55" xfId="1" quotePrefix="1" applyFont="1" applyBorder="1" applyAlignment="1">
      <alignment horizontal="left" vertical="justify"/>
    </xf>
    <xf numFmtId="0" fontId="4" fillId="0" borderId="56" xfId="0" quotePrefix="1" applyFont="1" applyBorder="1" applyAlignment="1">
      <alignment horizontal="left" vertical="justify"/>
    </xf>
    <xf numFmtId="0" fontId="4" fillId="0" borderId="57" xfId="0" quotePrefix="1" applyFont="1" applyBorder="1" applyAlignment="1">
      <alignment horizontal="left" vertical="justify"/>
    </xf>
    <xf numFmtId="0" fontId="4" fillId="0" borderId="58" xfId="0" quotePrefix="1" applyFont="1" applyBorder="1" applyAlignment="1">
      <alignment horizontal="left" vertical="justify"/>
    </xf>
    <xf numFmtId="0" fontId="5" fillId="0" borderId="52" xfId="0" applyFont="1" applyBorder="1" applyAlignment="1">
      <alignment horizontal="center" vertical="center"/>
    </xf>
    <xf numFmtId="164" fontId="4" fillId="0" borderId="46" xfId="1" applyFont="1" applyBorder="1" applyAlignment="1">
      <alignment horizontal="center"/>
    </xf>
    <xf numFmtId="164" fontId="4" fillId="0" borderId="46" xfId="1" quotePrefix="1" applyFont="1" applyBorder="1" applyAlignment="1">
      <alignment horizontal="left" vertical="justify"/>
    </xf>
    <xf numFmtId="164" fontId="5" fillId="0" borderId="59" xfId="1" applyFont="1" applyBorder="1" applyAlignment="1">
      <alignment horizontal="center"/>
    </xf>
    <xf numFmtId="0" fontId="4" fillId="0" borderId="0" xfId="0" quotePrefix="1" applyFont="1" applyAlignment="1">
      <alignment horizontal="left" vertical="justify"/>
    </xf>
    <xf numFmtId="164" fontId="4" fillId="0" borderId="0" xfId="1" quotePrefix="1" applyFont="1" applyAlignment="1">
      <alignment horizontal="left" vertical="justify"/>
    </xf>
    <xf numFmtId="4" fontId="6" fillId="0" borderId="2" xfId="0" applyNumberFormat="1" applyFont="1" applyBorder="1"/>
    <xf numFmtId="0" fontId="2" fillId="0" borderId="0" xfId="0" applyFont="1"/>
    <xf numFmtId="0" fontId="13" fillId="0" borderId="6" xfId="0" applyFont="1" applyBorder="1" applyAlignment="1">
      <alignment horizontal="center" vertical="center" wrapText="1"/>
    </xf>
    <xf numFmtId="4" fontId="14" fillId="0" borderId="7" xfId="0" applyNumberFormat="1" applyFont="1" applyBorder="1"/>
    <xf numFmtId="4" fontId="14" fillId="0" borderId="0" xfId="0" applyNumberFormat="1" applyFont="1"/>
    <xf numFmtId="0" fontId="14" fillId="0" borderId="0" xfId="0" applyFont="1"/>
    <xf numFmtId="2" fontId="6" fillId="0" borderId="2" xfId="0" quotePrefix="1" applyNumberFormat="1" applyFont="1" applyBorder="1" applyAlignment="1">
      <alignment horizontal="left" vertical="justify"/>
    </xf>
    <xf numFmtId="4" fontId="7" fillId="0" borderId="0" xfId="0" applyNumberFormat="1" applyFont="1"/>
    <xf numFmtId="0" fontId="15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4" fillId="0" borderId="60" xfId="0" applyFont="1" applyBorder="1"/>
    <xf numFmtId="0" fontId="0" fillId="0" borderId="61" xfId="0" applyBorder="1"/>
    <xf numFmtId="0" fontId="4" fillId="0" borderId="0" xfId="0" applyFont="1"/>
    <xf numFmtId="0" fontId="6" fillId="0" borderId="25" xfId="0" applyFont="1" applyBorder="1" applyAlignment="1">
      <alignment horizontal="left"/>
    </xf>
    <xf numFmtId="0" fontId="6" fillId="0" borderId="25" xfId="0" applyFont="1" applyBorder="1" applyAlignment="1">
      <alignment vertical="center"/>
    </xf>
    <xf numFmtId="0" fontId="6" fillId="0" borderId="25" xfId="0" quotePrefix="1" applyFont="1" applyBorder="1" applyAlignment="1">
      <alignment horizontal="left" vertical="justify"/>
    </xf>
    <xf numFmtId="0" fontId="6" fillId="0" borderId="62" xfId="0" quotePrefix="1" applyFont="1" applyBorder="1" applyAlignment="1">
      <alignment horizontal="left" vertical="justify"/>
    </xf>
    <xf numFmtId="0" fontId="2" fillId="0" borderId="2" xfId="0" applyFont="1" applyBorder="1" applyAlignment="1">
      <alignment horizontal="left" vertical="justify"/>
    </xf>
    <xf numFmtId="164" fontId="5" fillId="0" borderId="27" xfId="1" quotePrefix="1" applyFont="1" applyBorder="1" applyAlignment="1">
      <alignment horizontal="left" vertical="justify"/>
    </xf>
    <xf numFmtId="0" fontId="17" fillId="0" borderId="2" xfId="0" quotePrefix="1" applyFont="1" applyBorder="1" applyAlignment="1">
      <alignment horizontal="center"/>
    </xf>
    <xf numFmtId="4" fontId="17" fillId="0" borderId="2" xfId="0" applyNumberFormat="1" applyFont="1" applyBorder="1"/>
    <xf numFmtId="4" fontId="17" fillId="0" borderId="8" xfId="0" applyNumberFormat="1" applyFont="1" applyBorder="1"/>
    <xf numFmtId="164" fontId="17" fillId="0" borderId="12" xfId="1" applyFont="1" applyBorder="1"/>
    <xf numFmtId="0" fontId="17" fillId="0" borderId="0" xfId="0" applyFont="1"/>
    <xf numFmtId="4" fontId="18" fillId="0" borderId="2" xfId="0" applyNumberFormat="1" applyFont="1" applyBorder="1"/>
    <xf numFmtId="0" fontId="17" fillId="0" borderId="2" xfId="0" quotePrefix="1" applyFont="1" applyBorder="1" applyAlignment="1">
      <alignment horizontal="left" vertical="justify"/>
    </xf>
    <xf numFmtId="0" fontId="18" fillId="0" borderId="2" xfId="0" quotePrefix="1" applyFont="1" applyBorder="1" applyAlignment="1">
      <alignment horizontal="left" vertical="justify"/>
    </xf>
    <xf numFmtId="0" fontId="2" fillId="0" borderId="2" xfId="0" quotePrefix="1" applyFont="1" applyBorder="1" applyAlignment="1">
      <alignment horizontal="center"/>
    </xf>
    <xf numFmtId="4" fontId="2" fillId="0" borderId="2" xfId="0" applyNumberFormat="1" applyFont="1" applyBorder="1"/>
    <xf numFmtId="4" fontId="2" fillId="0" borderId="8" xfId="0" applyNumberFormat="1" applyFont="1" applyBorder="1"/>
    <xf numFmtId="164" fontId="2" fillId="0" borderId="12" xfId="1" applyBorder="1"/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left" vertical="justify"/>
    </xf>
    <xf numFmtId="0" fontId="2" fillId="0" borderId="2" xfId="0" quotePrefix="1" applyFont="1" applyBorder="1" applyAlignment="1">
      <alignment horizontal="right"/>
    </xf>
    <xf numFmtId="43" fontId="0" fillId="0" borderId="0" xfId="0" applyNumberFormat="1"/>
    <xf numFmtId="4" fontId="0" fillId="0" borderId="0" xfId="0" applyNumberFormat="1" applyAlignment="1">
      <alignment horizontal="left"/>
    </xf>
    <xf numFmtId="0" fontId="15" fillId="0" borderId="0" xfId="0" applyFont="1"/>
    <xf numFmtId="0" fontId="2" fillId="0" borderId="0" xfId="0" applyFont="1" applyAlignment="1">
      <alignment horizontal="center"/>
    </xf>
    <xf numFmtId="0" fontId="5" fillId="0" borderId="63" xfId="0" applyFont="1" applyBorder="1" applyAlignment="1">
      <alignment horizontal="center"/>
    </xf>
    <xf numFmtId="0" fontId="6" fillId="0" borderId="63" xfId="0" applyFont="1" applyBorder="1" applyAlignment="1">
      <alignment horizontal="center"/>
    </xf>
    <xf numFmtId="164" fontId="2" fillId="0" borderId="12" xfId="1" applyFont="1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17" fillId="0" borderId="16" xfId="0" quotePrefix="1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4" fillId="0" borderId="13" xfId="0" quotePrefix="1" applyFont="1" applyBorder="1" applyAlignment="1">
      <alignment horizontal="center" vertical="justify"/>
    </xf>
    <xf numFmtId="0" fontId="4" fillId="0" borderId="16" xfId="0" quotePrefix="1" applyFont="1" applyBorder="1" applyAlignment="1">
      <alignment horizontal="center" vertical="justify"/>
    </xf>
    <xf numFmtId="0" fontId="4" fillId="0" borderId="17" xfId="0" quotePrefix="1" applyFont="1" applyBorder="1" applyAlignment="1">
      <alignment horizontal="center" vertical="justify"/>
    </xf>
    <xf numFmtId="0" fontId="4" fillId="0" borderId="0" xfId="0" quotePrefix="1" applyFont="1" applyAlignment="1">
      <alignment horizontal="center" vertical="justify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wrapText="1"/>
    </xf>
    <xf numFmtId="0" fontId="6" fillId="0" borderId="2" xfId="0" quotePrefix="1" applyFont="1" applyBorder="1" applyAlignment="1">
      <alignment horizontal="left" vertical="justify"/>
    </xf>
    <xf numFmtId="164" fontId="2" fillId="0" borderId="12" xfId="1" quotePrefix="1" applyFont="1" applyBorder="1" applyAlignment="1">
      <alignment horizontal="left" vertical="justify"/>
    </xf>
    <xf numFmtId="0" fontId="3" fillId="0" borderId="16" xfId="0" quotePrefix="1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5" fillId="0" borderId="64" xfId="0" applyFont="1" applyBorder="1" applyAlignment="1">
      <alignment horizontal="center"/>
    </xf>
    <xf numFmtId="0" fontId="5" fillId="0" borderId="65" xfId="0" applyFont="1" applyBorder="1" applyAlignment="1">
      <alignment horizontal="center"/>
    </xf>
    <xf numFmtId="0" fontId="2" fillId="0" borderId="0" xfId="0" quotePrefix="1" applyFont="1" applyAlignment="1">
      <alignment horizontal="right"/>
    </xf>
    <xf numFmtId="164" fontId="0" fillId="0" borderId="0" xfId="1" applyFont="1" applyAlignment="1">
      <alignment vertical="center"/>
    </xf>
    <xf numFmtId="164" fontId="0" fillId="0" borderId="9" xfId="1" applyFont="1" applyBorder="1" applyAlignment="1">
      <alignment vertical="center"/>
    </xf>
    <xf numFmtId="164" fontId="0" fillId="0" borderId="10" xfId="1" applyFont="1" applyBorder="1" applyAlignment="1">
      <alignment vertical="center"/>
    </xf>
    <xf numFmtId="164" fontId="0" fillId="0" borderId="11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164" fontId="5" fillId="0" borderId="0" xfId="1" applyFont="1" applyBorder="1" applyAlignment="1">
      <alignment horizontal="center" vertical="center"/>
    </xf>
    <xf numFmtId="10" fontId="6" fillId="0" borderId="72" xfId="2" applyNumberFormat="1" applyFont="1" applyBorder="1" applyAlignment="1">
      <alignment horizontal="center" vertical="center"/>
    </xf>
    <xf numFmtId="0" fontId="6" fillId="0" borderId="73" xfId="0" applyFont="1" applyBorder="1" applyAlignment="1">
      <alignment vertical="center"/>
    </xf>
    <xf numFmtId="0" fontId="6" fillId="0" borderId="74" xfId="0" applyFont="1" applyBorder="1" applyAlignment="1">
      <alignment vertical="center"/>
    </xf>
    <xf numFmtId="0" fontId="2" fillId="0" borderId="75" xfId="0" quotePrefix="1" applyFont="1" applyBorder="1" applyAlignment="1">
      <alignment horizontal="left" vertical="justify"/>
    </xf>
    <xf numFmtId="0" fontId="2" fillId="0" borderId="75" xfId="0" applyFont="1" applyBorder="1" applyAlignment="1">
      <alignment horizontal="right" vertical="justify"/>
    </xf>
    <xf numFmtId="164" fontId="2" fillId="0" borderId="75" xfId="1" quotePrefix="1" applyFont="1" applyBorder="1" applyAlignment="1">
      <alignment horizontal="left" vertical="center"/>
    </xf>
    <xf numFmtId="0" fontId="6" fillId="0" borderId="70" xfId="0" quotePrefix="1" applyFont="1" applyBorder="1" applyAlignment="1">
      <alignment horizontal="left" vertical="justify"/>
    </xf>
    <xf numFmtId="0" fontId="6" fillId="0" borderId="71" xfId="0" applyFont="1" applyBorder="1" applyAlignment="1">
      <alignment horizontal="left" vertical="justify"/>
    </xf>
    <xf numFmtId="0" fontId="2" fillId="0" borderId="0" xfId="0" quotePrefix="1" applyFont="1" applyAlignment="1">
      <alignment horizontal="left" vertical="justify"/>
    </xf>
    <xf numFmtId="0" fontId="2" fillId="0" borderId="0" xfId="0" applyFont="1" applyAlignment="1">
      <alignment horizontal="right" vertical="justify"/>
    </xf>
    <xf numFmtId="164" fontId="2" fillId="0" borderId="0" xfId="1" quotePrefix="1" applyFont="1" applyBorder="1" applyAlignment="1">
      <alignment horizontal="left" vertical="center"/>
    </xf>
    <xf numFmtId="0" fontId="2" fillId="0" borderId="35" xfId="0" quotePrefix="1" applyFont="1" applyBorder="1" applyAlignment="1">
      <alignment horizontal="left" vertical="justify"/>
    </xf>
    <xf numFmtId="0" fontId="6" fillId="0" borderId="44" xfId="0" applyFont="1" applyBorder="1" applyAlignment="1">
      <alignment horizontal="left" vertical="justify"/>
    </xf>
    <xf numFmtId="10" fontId="6" fillId="0" borderId="46" xfId="2" applyNumberFormat="1" applyFont="1" applyBorder="1" applyAlignment="1">
      <alignment horizontal="center"/>
    </xf>
    <xf numFmtId="10" fontId="6" fillId="0" borderId="76" xfId="2" applyNumberFormat="1" applyFont="1" applyBorder="1" applyAlignment="1">
      <alignment horizontal="center"/>
    </xf>
    <xf numFmtId="0" fontId="2" fillId="0" borderId="38" xfId="0" quotePrefix="1" applyFont="1" applyBorder="1" applyAlignment="1">
      <alignment horizontal="left" vertical="justify"/>
    </xf>
    <xf numFmtId="0" fontId="6" fillId="0" borderId="50" xfId="0" applyFont="1" applyBorder="1" applyAlignment="1">
      <alignment horizontal="left" vertical="justify"/>
    </xf>
    <xf numFmtId="10" fontId="6" fillId="0" borderId="77" xfId="2" applyNumberFormat="1" applyFont="1" applyBorder="1" applyAlignment="1">
      <alignment horizontal="center"/>
    </xf>
    <xf numFmtId="0" fontId="22" fillId="0" borderId="78" xfId="0" applyFont="1" applyBorder="1"/>
    <xf numFmtId="0" fontId="0" fillId="0" borderId="79" xfId="0" applyBorder="1"/>
    <xf numFmtId="0" fontId="0" fillId="0" borderId="80" xfId="0" applyBorder="1"/>
    <xf numFmtId="0" fontId="5" fillId="0" borderId="8" xfId="0" quotePrefix="1" applyFont="1" applyBorder="1" applyAlignment="1">
      <alignment horizontal="left" vertical="justify"/>
    </xf>
    <xf numFmtId="0" fontId="17" fillId="0" borderId="16" xfId="0" quotePrefix="1" applyFont="1" applyBorder="1" applyAlignment="1">
      <alignment horizontal="center" vertical="justify"/>
    </xf>
    <xf numFmtId="0" fontId="18" fillId="0" borderId="16" xfId="0" quotePrefix="1" applyFont="1" applyBorder="1" applyAlignment="1">
      <alignment horizontal="center" vertical="justify"/>
    </xf>
    <xf numFmtId="0" fontId="17" fillId="0" borderId="16" xfId="0" applyFont="1" applyBorder="1" applyAlignment="1">
      <alignment horizontal="center" vertical="justify"/>
    </xf>
    <xf numFmtId="164" fontId="2" fillId="0" borderId="0" xfId="1" quotePrefix="1" applyFont="1" applyBorder="1" applyAlignment="1">
      <alignment horizontal="right"/>
    </xf>
    <xf numFmtId="0" fontId="0" fillId="0" borderId="0" xfId="0" quotePrefix="1" applyAlignment="1">
      <alignment horizontal="center"/>
    </xf>
    <xf numFmtId="0" fontId="5" fillId="0" borderId="35" xfId="0" quotePrefix="1" applyFont="1" applyBorder="1" applyAlignment="1">
      <alignment horizontal="left" vertical="justify"/>
    </xf>
    <xf numFmtId="10" fontId="6" fillId="0" borderId="45" xfId="2" applyNumberFormat="1" applyFont="1" applyBorder="1" applyAlignment="1">
      <alignment horizontal="center"/>
    </xf>
    <xf numFmtId="164" fontId="5" fillId="2" borderId="59" xfId="1" applyFont="1" applyFill="1" applyBorder="1" applyAlignment="1">
      <alignment horizontal="center" vertical="center"/>
    </xf>
    <xf numFmtId="164" fontId="5" fillId="2" borderId="32" xfId="1" applyFont="1" applyFill="1" applyBorder="1" applyAlignment="1">
      <alignment horizontal="center" vertical="center"/>
    </xf>
    <xf numFmtId="0" fontId="6" fillId="0" borderId="35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10" fontId="6" fillId="0" borderId="45" xfId="2" applyNumberFormat="1" applyFont="1" applyBorder="1" applyAlignment="1">
      <alignment horizontal="center" vertical="center"/>
    </xf>
    <xf numFmtId="0" fontId="5" fillId="2" borderId="81" xfId="0" applyFont="1" applyFill="1" applyBorder="1" applyAlignment="1">
      <alignment horizontal="left"/>
    </xf>
    <xf numFmtId="0" fontId="5" fillId="2" borderId="82" xfId="0" applyFont="1" applyFill="1" applyBorder="1" applyAlignment="1">
      <alignment horizontal="left"/>
    </xf>
    <xf numFmtId="10" fontId="5" fillId="2" borderId="80" xfId="2" applyNumberFormat="1" applyFont="1" applyFill="1" applyBorder="1" applyAlignment="1">
      <alignment horizontal="center" vertical="center"/>
    </xf>
    <xf numFmtId="164" fontId="0" fillId="2" borderId="83" xfId="1" applyFont="1" applyFill="1" applyBorder="1" applyAlignment="1">
      <alignment vertical="center"/>
    </xf>
    <xf numFmtId="10" fontId="5" fillId="2" borderId="86" xfId="2" applyNumberFormat="1" applyFont="1" applyFill="1" applyBorder="1" applyAlignment="1">
      <alignment horizontal="center"/>
    </xf>
    <xf numFmtId="164" fontId="0" fillId="2" borderId="87" xfId="1" applyFont="1" applyFill="1" applyBorder="1" applyAlignment="1">
      <alignment vertical="center"/>
    </xf>
    <xf numFmtId="0" fontId="5" fillId="2" borderId="81" xfId="0" quotePrefix="1" applyFont="1" applyFill="1" applyBorder="1" applyAlignment="1">
      <alignment horizontal="left" vertical="justify"/>
    </xf>
    <xf numFmtId="0" fontId="5" fillId="2" borderId="88" xfId="0" applyFont="1" applyFill="1" applyBorder="1" applyAlignment="1">
      <alignment horizontal="left" vertical="justify"/>
    </xf>
    <xf numFmtId="10" fontId="5" fillId="2" borderId="89" xfId="2" applyNumberFormat="1" applyFont="1" applyFill="1" applyBorder="1" applyAlignment="1">
      <alignment horizontal="center"/>
    </xf>
    <xf numFmtId="10" fontId="6" fillId="0" borderId="87" xfId="2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5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quotePrefix="1" applyFont="1" applyBorder="1" applyAlignment="1">
      <alignment horizontal="center" vertical="center"/>
    </xf>
    <xf numFmtId="0" fontId="2" fillId="0" borderId="16" xfId="0" quotePrefix="1" applyFont="1" applyBorder="1" applyAlignment="1">
      <alignment horizontal="center" vertical="center" wrapText="1"/>
    </xf>
    <xf numFmtId="0" fontId="5" fillId="0" borderId="90" xfId="0" applyFont="1" applyBorder="1" applyAlignment="1">
      <alignment horizontal="center"/>
    </xf>
    <xf numFmtId="0" fontId="2" fillId="0" borderId="40" xfId="0" applyFont="1" applyBorder="1" applyAlignment="1">
      <alignment horizontal="center" vertical="center"/>
    </xf>
    <xf numFmtId="0" fontId="2" fillId="0" borderId="91" xfId="0" applyFont="1" applyBorder="1" applyAlignment="1">
      <alignment horizontal="left"/>
    </xf>
    <xf numFmtId="0" fontId="2" fillId="0" borderId="91" xfId="0" applyFont="1" applyBorder="1" applyAlignment="1">
      <alignment horizontal="center"/>
    </xf>
    <xf numFmtId="4" fontId="2" fillId="0" borderId="92" xfId="0" applyNumberFormat="1" applyFont="1" applyBorder="1"/>
    <xf numFmtId="4" fontId="2" fillId="0" borderId="91" xfId="0" applyNumberFormat="1" applyFont="1" applyBorder="1"/>
    <xf numFmtId="164" fontId="2" fillId="0" borderId="93" xfId="1" applyBorder="1"/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164" fontId="5" fillId="0" borderId="8" xfId="1" applyFont="1" applyBorder="1" applyAlignment="1">
      <alignment horizontal="center"/>
    </xf>
    <xf numFmtId="164" fontId="2" fillId="0" borderId="8" xfId="1" applyBorder="1"/>
    <xf numFmtId="0" fontId="2" fillId="0" borderId="3" xfId="0" applyFont="1" applyBorder="1"/>
    <xf numFmtId="0" fontId="0" fillId="0" borderId="85" xfId="0" applyBorder="1"/>
    <xf numFmtId="0" fontId="5" fillId="0" borderId="94" xfId="0" applyFont="1" applyBorder="1" applyAlignment="1">
      <alignment horizontal="center"/>
    </xf>
    <xf numFmtId="0" fontId="0" fillId="0" borderId="10" xfId="0" applyBorder="1"/>
    <xf numFmtId="0" fontId="5" fillId="0" borderId="9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2" fillId="0" borderId="94" xfId="0" applyFont="1" applyBorder="1" applyAlignment="1">
      <alignment horizontal="center" vertical="center"/>
    </xf>
    <xf numFmtId="164" fontId="6" fillId="0" borderId="45" xfId="1" applyFont="1" applyBorder="1" applyAlignment="1">
      <alignment horizontal="center"/>
    </xf>
    <xf numFmtId="0" fontId="6" fillId="0" borderId="35" xfId="0" applyFont="1" applyBorder="1" applyAlignment="1">
      <alignment horizontal="left" vertical="center"/>
    </xf>
    <xf numFmtId="0" fontId="6" fillId="0" borderId="54" xfId="0" applyFont="1" applyBorder="1" applyAlignment="1">
      <alignment horizontal="left"/>
    </xf>
    <xf numFmtId="43" fontId="2" fillId="0" borderId="45" xfId="0" applyNumberFormat="1" applyFont="1" applyBorder="1" applyAlignment="1">
      <alignment horizontal="center"/>
    </xf>
    <xf numFmtId="43" fontId="2" fillId="0" borderId="40" xfId="0" applyNumberFormat="1" applyFont="1" applyBorder="1" applyAlignment="1">
      <alignment horizontal="center"/>
    </xf>
    <xf numFmtId="164" fontId="2" fillId="0" borderId="54" xfId="1" applyFont="1" applyBorder="1" applyAlignment="1">
      <alignment horizontal="center"/>
    </xf>
    <xf numFmtId="164" fontId="2" fillId="0" borderId="35" xfId="1" applyFont="1" applyBorder="1" applyAlignment="1">
      <alignment horizontal="center"/>
    </xf>
    <xf numFmtId="0" fontId="5" fillId="0" borderId="16" xfId="0" quotePrefix="1" applyFont="1" applyBorder="1" applyAlignment="1">
      <alignment horizontal="center" vertical="justify"/>
    </xf>
    <xf numFmtId="0" fontId="2" fillId="0" borderId="16" xfId="0" quotePrefix="1" applyFont="1" applyBorder="1" applyAlignment="1">
      <alignment horizontal="center" vertical="justify"/>
    </xf>
    <xf numFmtId="0" fontId="2" fillId="0" borderId="16" xfId="0" applyFont="1" applyBorder="1" applyAlignment="1">
      <alignment horizontal="center" vertical="justify"/>
    </xf>
    <xf numFmtId="0" fontId="2" fillId="0" borderId="0" xfId="0" quotePrefix="1" applyFont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59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5" fillId="0" borderId="26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8" fillId="0" borderId="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5" fillId="2" borderId="68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0" fontId="5" fillId="2" borderId="85" xfId="0" applyFont="1" applyFill="1" applyBorder="1" applyAlignment="1">
      <alignment horizontal="center" vertical="center"/>
    </xf>
  </cellXfs>
  <cellStyles count="211">
    <cellStyle name="Accent1" xfId="3" xr:uid="{D33C0157-EF7D-421F-823B-850AA26FB6A0}"/>
    <cellStyle name="Accent1 - 20%" xfId="4" xr:uid="{56B7BC0F-4129-403D-8350-8CD979C0E04B}"/>
    <cellStyle name="Accent1 - 40%" xfId="5" xr:uid="{9E87E5E4-3ECC-47FB-B97A-22AAC683478A}"/>
    <cellStyle name="Accent1 - 60%" xfId="6" xr:uid="{60A43727-C94B-4263-A5FC-E71404F5679F}"/>
    <cellStyle name="Accent2" xfId="7" xr:uid="{ABF47D26-F652-493B-AC29-896EE56400C4}"/>
    <cellStyle name="Accent2 - 20%" xfId="8" xr:uid="{688212E5-23EB-4677-AAE1-1541BFEFD47E}"/>
    <cellStyle name="Accent2 - 40%" xfId="9" xr:uid="{73992177-D456-4ACD-B689-53C75B82D2E2}"/>
    <cellStyle name="Accent2 - 60%" xfId="10" xr:uid="{900BB1F5-564C-498E-AA19-1BBEF6176A71}"/>
    <cellStyle name="Accent3" xfId="11" xr:uid="{0607BE3C-F4CB-45C5-B3B7-30AECD097501}"/>
    <cellStyle name="Accent3 - 20%" xfId="12" xr:uid="{DD729F84-7087-4EFB-B7F8-8A1A45BF7842}"/>
    <cellStyle name="Accent3 - 40%" xfId="13" xr:uid="{FA0781D2-7BF3-4EA6-828E-14FD3339F3F0}"/>
    <cellStyle name="Accent3 - 60%" xfId="14" xr:uid="{56E8B321-3F01-4B46-A169-55D3385AD563}"/>
    <cellStyle name="Accent4" xfId="15" xr:uid="{8E12C815-FDD7-46B2-AEAF-54CF6F180CF4}"/>
    <cellStyle name="Accent4 - 20%" xfId="16" xr:uid="{B3B84DAA-30C9-47D0-A886-EB1C3058199F}"/>
    <cellStyle name="Accent4 - 40%" xfId="17" xr:uid="{5E25FA94-2E27-4DC2-A38D-1BB5E9C5B2F4}"/>
    <cellStyle name="Accent4 - 60%" xfId="18" xr:uid="{07FA160B-4333-4B66-8FE2-067640514D0A}"/>
    <cellStyle name="Accent5" xfId="19" xr:uid="{582E5C36-50EA-4033-B853-FB5AAEB4CA01}"/>
    <cellStyle name="Accent5 - 20%" xfId="20" xr:uid="{23E10EA6-769A-4EA4-99AF-B7072B58C1FD}"/>
    <cellStyle name="Accent5 - 40%" xfId="21" xr:uid="{61334CBE-9F92-4E2E-AAB9-21B3B759E4B7}"/>
    <cellStyle name="Accent5 - 60%" xfId="22" xr:uid="{7A784A6A-E84E-49CB-8E40-BAB3E733BF07}"/>
    <cellStyle name="Accent6" xfId="23" xr:uid="{62E20BCD-05F0-4C66-A401-277B57AE2FE7}"/>
    <cellStyle name="Accent6 - 20%" xfId="24" xr:uid="{4B067453-7BE9-40F4-B819-FC03571C3320}"/>
    <cellStyle name="Accent6 - 40%" xfId="25" xr:uid="{769D424D-3806-4C4D-A57A-30512E0392AD}"/>
    <cellStyle name="Accent6 - 60%" xfId="26" xr:uid="{B92098F7-C2A6-4B4C-9999-622528B52047}"/>
    <cellStyle name="Bad" xfId="27" xr:uid="{252D3340-87B6-4EC4-BD3E-6B0623A1FD7C}"/>
    <cellStyle name="Calculation" xfId="28" xr:uid="{614EABFC-205D-46AA-A0ED-BD0245381723}"/>
    <cellStyle name="Cancel" xfId="29" xr:uid="{14B6F9CF-43EE-4B9C-94A6-48571D718D2C}"/>
    <cellStyle name="Check Cell" xfId="30" xr:uid="{218B4021-88DA-4EC5-9D36-15B0A95CBBFD}"/>
    <cellStyle name="Comma" xfId="31" xr:uid="{26BF2865-00C8-438B-9EE8-4532B4D838D0}"/>
    <cellStyle name="Comma0" xfId="32" xr:uid="{F5845F5D-68C4-4C84-A479-3C8042057E19}"/>
    <cellStyle name="Currency" xfId="33" xr:uid="{39C6266F-C5A1-48AB-96D1-C1861F6DC253}"/>
    <cellStyle name="Currency0" xfId="34" xr:uid="{F3E0AB98-14EC-41B5-80BB-0CBE62CDE095}"/>
    <cellStyle name="Date" xfId="35" xr:uid="{3D6B5DA0-B002-4787-A402-566160B93D2E}"/>
    <cellStyle name="Emphasis 1" xfId="36" xr:uid="{B6C5948B-9395-4777-A116-AD41956AAB1A}"/>
    <cellStyle name="Emphasis 2" xfId="37" xr:uid="{B871F4B5-9329-437F-96C6-6C5CD56B2E11}"/>
    <cellStyle name="Emphasis 3" xfId="38" xr:uid="{DC60171B-9E28-4DC2-ACAB-5336B53B7958}"/>
    <cellStyle name="Estilo 1" xfId="39" xr:uid="{17476E5A-9305-4711-85D7-7854B9248B2C}"/>
    <cellStyle name="Euro" xfId="40" xr:uid="{E9661E0F-16F0-4DA2-A32F-0002277B0830}"/>
    <cellStyle name="Fixed" xfId="41" xr:uid="{CABDFD55-7189-4DE5-8FEB-BEF776955554}"/>
    <cellStyle name="Good" xfId="42" xr:uid="{419AA66D-92AA-4618-9F96-EC7E583DB67D}"/>
    <cellStyle name="Heading 1" xfId="43" xr:uid="{6F877F63-CA1E-4C85-BD44-9550F67B62A2}"/>
    <cellStyle name="Heading 2" xfId="44" xr:uid="{3BBE5E8A-B509-407E-A772-D58E0F1A340A}"/>
    <cellStyle name="Heading 3" xfId="45" xr:uid="{C268DEEE-FE0C-47B4-984D-8A2D5A473D70}"/>
    <cellStyle name="Heading 4" xfId="46" xr:uid="{EFC2644E-A4B5-43DE-9651-8113A677A20D}"/>
    <cellStyle name="Heading1" xfId="47" xr:uid="{F64194DF-B612-4EBD-BFA4-48C479D8D44C}"/>
    <cellStyle name="Heading2" xfId="48" xr:uid="{305AC5F4-0AB2-4033-863A-E49822C8805A}"/>
    <cellStyle name="Hyperlink 2" xfId="49" xr:uid="{A0FCEBEC-1849-4F57-BD82-162055C209AF}"/>
    <cellStyle name="Hyperlink 2 2" xfId="50" xr:uid="{95EAA616-687F-495D-A718-8870E05DBA58}"/>
    <cellStyle name="Input" xfId="51" xr:uid="{C3143863-60BA-4B01-9682-50E7E9B16D8F}"/>
    <cellStyle name="Linked Cell" xfId="52" xr:uid="{2660233A-3440-44CB-89C7-D586762BD786}"/>
    <cellStyle name="Moeda 2" xfId="53" xr:uid="{FABDBE64-E8DA-4447-938A-F3C852371282}"/>
    <cellStyle name="Moeda 2 2" xfId="54" xr:uid="{2DA08C43-276B-4F29-96FF-1E05F57B65F8}"/>
    <cellStyle name="Moeda 3" xfId="55" xr:uid="{D543218D-30DE-45F7-9C45-565C005C64D6}"/>
    <cellStyle name="Moeda 4" xfId="56" xr:uid="{BF482AB3-4553-4190-A6A5-BC12FBF90C5A}"/>
    <cellStyle name="Moeda 6" xfId="57" xr:uid="{01FDD6DB-DB24-4E8C-9C02-D46FB0148A51}"/>
    <cellStyle name="Neutral" xfId="58" xr:uid="{3FE9FA43-BAE3-40FE-AF86-D84A2F745373}"/>
    <cellStyle name="Normal" xfId="0" builtinId="0"/>
    <cellStyle name="Normal 10" xfId="59" xr:uid="{429C49E4-D279-475E-8ED1-756F8BE71E7E}"/>
    <cellStyle name="Normal 11" xfId="60" xr:uid="{CB8EA5F2-BB4D-4F76-B4CA-0703DEED8424}"/>
    <cellStyle name="Normal 12" xfId="61" xr:uid="{73907FF5-446D-4DD1-A3B6-926B764DEA66}"/>
    <cellStyle name="Normal 13" xfId="62" xr:uid="{D32A7672-424C-4AD9-9A7E-EA788E280D2F}"/>
    <cellStyle name="Normal 14" xfId="63" xr:uid="{C54E7A78-378D-4800-9541-5DF87FD46589}"/>
    <cellStyle name="Normal 15" xfId="64" xr:uid="{4CBE7E5D-5C2C-45FD-B67C-D240661B91F4}"/>
    <cellStyle name="Normal 17" xfId="209" xr:uid="{6F003AD3-34F7-460C-BA47-DC11EFDB9A3F}"/>
    <cellStyle name="Normal 2" xfId="65" xr:uid="{942B5DE9-C4B0-4816-AC91-01AAF2A2B7CC}"/>
    <cellStyle name="Normal 2 2" xfId="66" xr:uid="{E5F83C10-CD9F-436E-9471-DB0FE2DA0006}"/>
    <cellStyle name="Normal 2 2 2" xfId="210" xr:uid="{925FD7EE-4591-4BF4-A652-13007EFDBCC9}"/>
    <cellStyle name="Normal 2 2 2 2" xfId="67" xr:uid="{6CB0BCF6-1F43-4DB7-84DD-A2EBA6E0A4BF}"/>
    <cellStyle name="Normal 2 3" xfId="68" xr:uid="{4C22A3C3-B2E1-4B79-8E2A-E8252679AFEE}"/>
    <cellStyle name="Normal 2 4" xfId="69" xr:uid="{2D172201-0DC0-406E-AFA4-A136658C9F50}"/>
    <cellStyle name="Normal 2 4 4" xfId="70" xr:uid="{8EB4DC88-A96C-43CD-BA40-5866C00C7DD1}"/>
    <cellStyle name="Normal 2 5" xfId="71" xr:uid="{D2B7346A-9410-4546-9DD7-06A16C72C08B}"/>
    <cellStyle name="Normal 2 6" xfId="72" xr:uid="{383B1273-3AF0-44EC-B00C-098961588AF4}"/>
    <cellStyle name="Normal 2_Composições Auxiliares_Anayde Beiriz" xfId="73" xr:uid="{C1EA1C21-E58A-4BC7-A9DE-8217514C1097}"/>
    <cellStyle name="Normal 3" xfId="74" xr:uid="{50C0D28A-FA3E-440B-A8EA-0CEB5917D289}"/>
    <cellStyle name="Normal 3 2" xfId="75" xr:uid="{3E7E1B3D-61A1-49C3-A2BD-2B601A6C687A}"/>
    <cellStyle name="Normal 3 2 2" xfId="76" xr:uid="{4F72F920-254F-4485-8577-54031C60E969}"/>
    <cellStyle name="Normal 3 3" xfId="77" xr:uid="{FA3C6D6F-8AAA-46E2-A2C6-47BF7C38BB63}"/>
    <cellStyle name="Normal 3 4" xfId="208" xr:uid="{0B43BD3E-1B39-41AA-953F-B1BE01A22AB3}"/>
    <cellStyle name="Normal 4" xfId="78" xr:uid="{F37054AE-35A5-4E67-88D5-F517D639C346}"/>
    <cellStyle name="Normal 5" xfId="79" xr:uid="{7A10B868-AD54-4DF2-A8BE-FEF279B7D550}"/>
    <cellStyle name="Normal 5 2" xfId="80" xr:uid="{655E17F0-4C4F-427F-8F48-1589285F6544}"/>
    <cellStyle name="Normal 5 3" xfId="81" xr:uid="{B56C3929-CE81-4CC3-87CB-7321CD5A6E05}"/>
    <cellStyle name="Normal 5 4" xfId="82" xr:uid="{EDD6903A-B3F0-42E6-A419-047AF5C3ACD5}"/>
    <cellStyle name="Normal 5 5" xfId="83" xr:uid="{9857D9C6-7B98-48FF-B628-0F37948D3708}"/>
    <cellStyle name="Normal 5 6" xfId="84" xr:uid="{86B209FA-AB1A-4728-AF28-D4397CC6D931}"/>
    <cellStyle name="Normal 5 7" xfId="85" xr:uid="{6010D7EE-2DC7-4902-920F-024909EC22B0}"/>
    <cellStyle name="Normal 6" xfId="86" xr:uid="{94DFFF33-9087-4A7F-ACAB-7B3B0F1F7815}"/>
    <cellStyle name="Normal 6 2" xfId="87" xr:uid="{C183AE19-BE97-4D7B-A929-B2B769612B9C}"/>
    <cellStyle name="Normal 6 3" xfId="88" xr:uid="{5171A3B1-357D-4E6E-9C25-293CAB9F061A}"/>
    <cellStyle name="Normal 6 4" xfId="89" xr:uid="{6CEF52D8-B706-4EDC-9654-0BD4199A3BC0}"/>
    <cellStyle name="Normal 6 5" xfId="90" xr:uid="{BE6DC659-61C9-4958-B93B-B7425FDEB180}"/>
    <cellStyle name="Normal 6 6" xfId="91" xr:uid="{5FEACDD6-FB4B-4D86-B8B2-49996853223D}"/>
    <cellStyle name="Normal 7" xfId="92" xr:uid="{ACD94C83-DBAD-4841-A571-8BB01EEB6054}"/>
    <cellStyle name="Normal 7 10" xfId="93" xr:uid="{88DAFA5B-2926-4A7D-9C24-FB3742CFD24C}"/>
    <cellStyle name="Normal 7 2" xfId="94" xr:uid="{7C9CDE0B-9AE3-4B23-84BF-00E05FFB53F2}"/>
    <cellStyle name="Normal 7 3" xfId="95" xr:uid="{40A0030F-E99F-4D5E-9702-9B18FCCEC211}"/>
    <cellStyle name="Normal 7 4" xfId="96" xr:uid="{77BCDBCC-2905-42B3-AA24-7E1DD097A1FC}"/>
    <cellStyle name="Normal 7 5" xfId="97" xr:uid="{3799B7B6-7789-4166-A340-CA48970D362B}"/>
    <cellStyle name="Normal 7 6" xfId="98" xr:uid="{CEE7EA30-C386-4E19-A2D2-72A55CB36204}"/>
    <cellStyle name="Normal 7 7" xfId="99" xr:uid="{A05FE727-79C4-4FF1-BE31-6594DFBA45EB}"/>
    <cellStyle name="Normal 7 8" xfId="100" xr:uid="{1537CB74-6F5E-4A97-9258-88489764D165}"/>
    <cellStyle name="Normal 7 9" xfId="101" xr:uid="{D90E41B6-E1D8-45FC-9780-7967A55550B3}"/>
    <cellStyle name="Normal 8" xfId="102" xr:uid="{E931D9CD-1FD7-4D2C-9498-CF76F6A48443}"/>
    <cellStyle name="Normal 8 2" xfId="103" xr:uid="{4F2EC522-53A8-4872-901C-83E4120CA731}"/>
    <cellStyle name="Normal 8 3" xfId="104" xr:uid="{2DB8BC8B-2B97-4DDA-89EF-7257A62C2333}"/>
    <cellStyle name="Normal 9" xfId="105" xr:uid="{BEA2671F-6FAC-4862-9A2B-9392D779883D}"/>
    <cellStyle name="Note" xfId="106" xr:uid="{B0226A10-3A1C-45E5-ADF6-BB29F210433D}"/>
    <cellStyle name="Output" xfId="107" xr:uid="{E0FCF6F8-0A0A-4FDE-85D1-F0607E2B1AAF}"/>
    <cellStyle name="Percent" xfId="108" xr:uid="{965BDFCC-D513-4111-ABA5-F4797429073B}"/>
    <cellStyle name="Porcentagem" xfId="2" builtinId="5"/>
    <cellStyle name="Porcentagem 2" xfId="110" xr:uid="{2DB8FF79-C916-4BC1-A4C9-21467798F05C}"/>
    <cellStyle name="Porcentagem 2 2" xfId="111" xr:uid="{F30EE8ED-B8E1-423A-8A20-E08CAB48A828}"/>
    <cellStyle name="Porcentagem 2 3" xfId="112" xr:uid="{4FD93F8A-0EEC-4CEB-9673-97EB8EC48664}"/>
    <cellStyle name="Porcentagem 3" xfId="113" xr:uid="{8E002B1D-721A-4D7A-8509-366438CC3323}"/>
    <cellStyle name="Porcentagem 3 2" xfId="114" xr:uid="{256957ED-A0B2-467A-BFFE-A69AEFB3EBCF}"/>
    <cellStyle name="Porcentagem 3 2 2" xfId="115" xr:uid="{59BCE507-F0F5-476B-9874-F9B2E5F66053}"/>
    <cellStyle name="Porcentagem 3 2 2 2" xfId="116" xr:uid="{20B0B61E-BC03-4035-8509-7EC026BA2B1C}"/>
    <cellStyle name="Porcentagem 3 2 3" xfId="117" xr:uid="{4C1E6483-A7D0-4BA6-AFE7-D30A3F5262FD}"/>
    <cellStyle name="Porcentagem 4" xfId="118" xr:uid="{577D456B-892A-4C40-861E-176AF01ED998}"/>
    <cellStyle name="Porcentagem 4 2" xfId="119" xr:uid="{970269C9-B779-4D43-8D6B-3B011E655D57}"/>
    <cellStyle name="Porcentagem 4 3" xfId="120" xr:uid="{85CA4411-C952-4109-9870-7C20D45CED78}"/>
    <cellStyle name="Porcentagem 4 4" xfId="121" xr:uid="{92FF018E-B178-4B97-BDD1-53D7FC513B64}"/>
    <cellStyle name="Porcentagem 4 5" xfId="122" xr:uid="{89404E15-A2B5-4114-B96F-AC697FBB8C3E}"/>
    <cellStyle name="Porcentagem 4 6" xfId="123" xr:uid="{B2502613-B780-4070-A245-84EE08DB4AF0}"/>
    <cellStyle name="Porcentagem 4 7" xfId="124" xr:uid="{00D662F5-8C2E-4AE6-A9E3-A21CF14FCBB6}"/>
    <cellStyle name="Porcentagem 4 8" xfId="125" xr:uid="{3EE96F14-C768-4EFC-A87B-BF081139D7D4}"/>
    <cellStyle name="Porcentagem 5" xfId="126" xr:uid="{E77A7431-8B26-4A06-8536-502A38009566}"/>
    <cellStyle name="Porcentagem 5 2" xfId="127" xr:uid="{021969D4-CF40-4252-BF67-685612E2F011}"/>
    <cellStyle name="Porcentagem 5 3" xfId="128" xr:uid="{56B57AF0-E71B-4CEF-86BB-1D10FCDD2542}"/>
    <cellStyle name="Porcentagem 6" xfId="129" xr:uid="{A150AF77-345A-4110-A2C8-BABCD24F9FFC}"/>
    <cellStyle name="Porcentagem 7" xfId="109" xr:uid="{B9DD4AC4-9DA0-452E-96C0-9D05D988B67D}"/>
    <cellStyle name="Separador de milhares 10" xfId="130" xr:uid="{3C0B8444-5175-41EE-9CA2-DC2D886266ED}"/>
    <cellStyle name="Separador de milhares 10 2" xfId="131" xr:uid="{3944BBED-E171-46AB-A5CB-A271B9DE2CF1}"/>
    <cellStyle name="Separador de milhares 10 3" xfId="132" xr:uid="{5B304B6E-4A11-4819-86E2-A828CC8C19C3}"/>
    <cellStyle name="Separador de milhares 10 4" xfId="133" xr:uid="{49F96404-C66E-4731-B90B-EE6EB553DCBB}"/>
    <cellStyle name="Separador de milhares 11" xfId="134" xr:uid="{85F9C057-3D44-4020-A444-0C14DD13F685}"/>
    <cellStyle name="Separador de milhares 12" xfId="135" xr:uid="{0B7C5E3D-887B-4760-A8E4-B0D6A2B27691}"/>
    <cellStyle name="Separador de milhares 13" xfId="136" xr:uid="{915CC032-7C8A-431C-AF02-DC4F70B0B628}"/>
    <cellStyle name="Separador de milhares 14" xfId="137" xr:uid="{C327538C-56EB-4ED6-9820-A6CB652053C2}"/>
    <cellStyle name="Separador de milhares 2" xfId="138" xr:uid="{7AF8EC9E-59D5-4579-9656-3C11C809ADF5}"/>
    <cellStyle name="Separador de milhares 2 2" xfId="139" xr:uid="{42E208FC-61FB-45A9-B3FA-BE4FC249BA69}"/>
    <cellStyle name="Separador de milhares 2 2 2" xfId="140" xr:uid="{6DF5EBEF-47CF-4BD2-A5B6-A44527C329D9}"/>
    <cellStyle name="Separador de milhares 2 2 3" xfId="141" xr:uid="{356E662D-7977-4566-B8CB-C1D0A674A984}"/>
    <cellStyle name="Separador de milhares 2 2 3 2" xfId="142" xr:uid="{60407996-A98A-4D41-93C3-0724E53353C5}"/>
    <cellStyle name="Separador de milhares 2 3" xfId="143" xr:uid="{276ADFB2-C15E-44F8-AE69-0CAAFAC7EC05}"/>
    <cellStyle name="Separador de milhares 2 3 2" xfId="144" xr:uid="{DB87BD1D-3DB1-4F00-9384-2FA32A13F412}"/>
    <cellStyle name="Separador de milhares 2 3 3" xfId="145" xr:uid="{342E1405-C83E-4C88-A8B7-6AB9DA6BE710}"/>
    <cellStyle name="Separador de milhares 2 3 3 2" xfId="146" xr:uid="{7A97F7B9-3BE8-4AB4-85A1-3D6146AF720A}"/>
    <cellStyle name="Separador de milhares 2 4" xfId="147" xr:uid="{F1D44689-0DDE-48C4-85FD-57044122F7AE}"/>
    <cellStyle name="Separador de milhares 2 4 2" xfId="148" xr:uid="{A8285A66-EDDE-4864-A4FE-4987833AAA2D}"/>
    <cellStyle name="Separador de milhares 2 5" xfId="149" xr:uid="{F20B84DB-40A5-4C13-B135-8E921A9C6986}"/>
    <cellStyle name="Separador de milhares 2 6" xfId="150" xr:uid="{8D80B338-E978-418F-9D33-B3F239443AA0}"/>
    <cellStyle name="Separador de milhares 2 7" xfId="151" xr:uid="{A13BEDE1-B440-4365-9748-BE6682A40D6B}"/>
    <cellStyle name="Separador de milhares 2 7 2" xfId="152" xr:uid="{00126FC5-4CC6-439B-8198-AA79794036B9}"/>
    <cellStyle name="Separador de milhares 2 8" xfId="153" xr:uid="{CD07B636-FB22-4E71-9564-61AE078F0D6C}"/>
    <cellStyle name="Separador de milhares 3" xfId="154" xr:uid="{803F812B-94EC-4D82-8962-A14B764746B2}"/>
    <cellStyle name="Separador de milhares 3 2" xfId="155" xr:uid="{0E7F38C7-6B52-4113-AC73-5637493598B8}"/>
    <cellStyle name="Separador de milhares 4" xfId="156" xr:uid="{1595D43F-E052-4F5D-8F9E-618C5995717B}"/>
    <cellStyle name="Separador de milhares 4 2" xfId="157" xr:uid="{BA4C7976-A53F-41BD-AC21-A5D457E497A3}"/>
    <cellStyle name="Separador de milhares 4 2 2" xfId="158" xr:uid="{EB32BD62-0E7B-4985-9A81-804D72FC08BE}"/>
    <cellStyle name="Separador de milhares 4 2 2 2" xfId="159" xr:uid="{067B3855-27AE-476B-B60D-A4D75C07C500}"/>
    <cellStyle name="Separador de milhares 4 2 2 3" xfId="160" xr:uid="{415B26D4-EB65-4E91-AF8D-86F02E2B27F0}"/>
    <cellStyle name="Separador de milhares 4 2 3" xfId="161" xr:uid="{F9CD1A3E-9D76-4CDC-A409-5F7727617F46}"/>
    <cellStyle name="Separador de milhares 4 2 3 2" xfId="162" xr:uid="{AE155C2B-9F99-40DC-9F4E-9C7330A6B2E2}"/>
    <cellStyle name="Separador de milhares 4 2 3 3" xfId="163" xr:uid="{F2B53409-3BE2-49EC-AA6D-3A6737E68FEC}"/>
    <cellStyle name="Separador de milhares 4 2 4" xfId="164" xr:uid="{1212EC76-B3F5-41DC-BC69-ED4B19782954}"/>
    <cellStyle name="Separador de milhares 4 2 4 2" xfId="165" xr:uid="{468D8B6C-FA7B-4B56-8526-D3BBF106AA62}"/>
    <cellStyle name="Separador de milhares 4 2 4 3" xfId="166" xr:uid="{DBDE6FC5-58DB-4FD8-B1F9-277110888F0B}"/>
    <cellStyle name="Separador de milhares 4 2 5" xfId="167" xr:uid="{58468808-63DE-4557-95FB-B441AA2BBB36}"/>
    <cellStyle name="Separador de milhares 4 2 6" xfId="168" xr:uid="{2985AA84-A42A-44AB-BE8E-1EFDB9F5980E}"/>
    <cellStyle name="Separador de milhares 4 2 7" xfId="169" xr:uid="{F7E3C7C2-3398-4CB1-8862-575A25011BC1}"/>
    <cellStyle name="Separador de milhares 4 2 8" xfId="170" xr:uid="{8E48CA90-04AC-4CDB-A295-567F51AA2360}"/>
    <cellStyle name="Separador de milhares 4 3" xfId="171" xr:uid="{A30F06EC-9BFA-4088-B303-836A02410670}"/>
    <cellStyle name="Separador de milhares 4 3 2" xfId="172" xr:uid="{86036859-4A0D-4C86-B693-3A95A831FE91}"/>
    <cellStyle name="Separador de milhares 5" xfId="173" xr:uid="{6837C5FE-8EF8-4A75-8B47-972B762F2CB1}"/>
    <cellStyle name="Separador de milhares 5 2" xfId="174" xr:uid="{4D2C2C9F-C769-4667-99C3-1088C0AA39EE}"/>
    <cellStyle name="Separador de milhares 5 3" xfId="175" xr:uid="{BFDC1B6B-0299-4275-BBF9-86943D638292}"/>
    <cellStyle name="Separador de milhares 5 4" xfId="176" xr:uid="{9A18EB5E-AAC2-48F3-882F-8548B7CC39F0}"/>
    <cellStyle name="Separador de milhares 5 5" xfId="177" xr:uid="{A1A67821-845E-4556-82AC-0B3A94A67EB0}"/>
    <cellStyle name="Separador de milhares 5 6" xfId="178" xr:uid="{616E4BAF-14D1-42AF-B33B-1056FE33D3E6}"/>
    <cellStyle name="Separador de milhares 6" xfId="179" xr:uid="{5EC5F69F-BC93-4728-968A-094E8A0342F9}"/>
    <cellStyle name="Separador de milhares 6 2" xfId="180" xr:uid="{04F91F5C-57A9-4328-8E82-D460180F7F91}"/>
    <cellStyle name="Separador de milhares 6 2 2" xfId="181" xr:uid="{39A4274A-9802-4D27-97E5-01D565449D4D}"/>
    <cellStyle name="Separador de milhares 6 2 3" xfId="182" xr:uid="{AF380BFF-4337-4A41-A3AE-A89DA5DD28DD}"/>
    <cellStyle name="Separador de milhares 6 3" xfId="183" xr:uid="{2E271C5A-967B-45E1-80D7-F10974576145}"/>
    <cellStyle name="Separador de milhares 6 3 2" xfId="184" xr:uid="{70AADC93-7D04-4E61-8177-B1B7147E4D85}"/>
    <cellStyle name="Separador de milhares 6 3 3" xfId="185" xr:uid="{EC44075F-AC59-4267-AB45-74AD8290720C}"/>
    <cellStyle name="Separador de milhares 6 4" xfId="186" xr:uid="{86B08EE1-223E-4A90-B62B-7085A8531B22}"/>
    <cellStyle name="Separador de milhares 6 4 2" xfId="187" xr:uid="{31C9A0AD-4492-4DF8-B246-6C215277DE18}"/>
    <cellStyle name="Separador de milhares 6 4 3" xfId="188" xr:uid="{F2CE9A66-ED66-4A67-A5B5-DAA089992AF3}"/>
    <cellStyle name="Separador de milhares 6 5" xfId="189" xr:uid="{EDC36B02-C703-4AB1-80FD-6D325C162161}"/>
    <cellStyle name="Separador de milhares 6 6" xfId="190" xr:uid="{F0A26677-7E1D-40A4-BE0B-ABE1FA2EC989}"/>
    <cellStyle name="Separador de milhares 6 7" xfId="191" xr:uid="{C53EB35B-7D01-4468-8810-E63B8B8E1492}"/>
    <cellStyle name="Separador de milhares 7" xfId="192" xr:uid="{59056E73-A659-4E43-8D1F-2EEC22556377}"/>
    <cellStyle name="Separador de milhares 7 2" xfId="193" xr:uid="{427A4EBB-5C42-46E1-952D-F5CD90CD12F2}"/>
    <cellStyle name="Separador de milhares 7 2 2" xfId="194" xr:uid="{549BEF09-C5A1-4A4B-8CBF-8F9464972ED2}"/>
    <cellStyle name="Separador de milhares 7 3" xfId="195" xr:uid="{95E357ED-34E4-4E5F-87A7-D45324B2D86D}"/>
    <cellStyle name="Separador de milhares 7 4" xfId="196" xr:uid="{02DC5775-7599-4C23-950F-D6B8A2805559}"/>
    <cellStyle name="Separador de milhares 7 5" xfId="197" xr:uid="{4C3898CA-B9C9-4519-8769-D03D3CD2AD01}"/>
    <cellStyle name="Separador de milhares 7 6" xfId="198" xr:uid="{591CA1F8-B102-4C43-985F-F46831E76A2A}"/>
    <cellStyle name="Separador de milhares 7 7" xfId="199" xr:uid="{5D54EB73-20A1-4D78-8C24-5EF05BCCB64C}"/>
    <cellStyle name="Separador de milhares 8" xfId="200" xr:uid="{134AA82C-E3F5-405E-8159-84486344E006}"/>
    <cellStyle name="Separador de milhares 9" xfId="201" xr:uid="{5BB42202-AF9E-4D21-93F3-BBFE00FC97D8}"/>
    <cellStyle name="Sheet Title" xfId="202" xr:uid="{2C8FC66C-DADC-4A14-9513-9A9CD5C5220F}"/>
    <cellStyle name="Total 2" xfId="203" xr:uid="{71D59F80-8E79-4155-BC09-0C549C621B12}"/>
    <cellStyle name="Vírgula" xfId="1" builtinId="3"/>
    <cellStyle name="Vírgula 2" xfId="207" xr:uid="{9D885315-54F7-469E-8516-69C4B93820FA}"/>
    <cellStyle name="Vírgula 3" xfId="205" xr:uid="{09CD072E-3081-440D-9DB0-C70EB45BC308}"/>
    <cellStyle name="Vírgula 4" xfId="204" xr:uid="{95EA85E1-52A3-4A29-95B5-872AC739657B}"/>
    <cellStyle name="Warning Text" xfId="206" xr:uid="{986A16FA-F5ED-4739-8425-1DB031E0E4F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3028950</xdr:colOff>
      <xdr:row>2</xdr:row>
      <xdr:rowOff>47625</xdr:rowOff>
    </xdr:from>
    <xdr:to>
      <xdr:col>5</xdr:col>
      <xdr:colOff>5514975</xdr:colOff>
      <xdr:row>3</xdr:row>
      <xdr:rowOff>227135</xdr:rowOff>
    </xdr:to>
    <xdr:pic>
      <xdr:nvPicPr>
        <xdr:cNvPr id="1193" name="Imagem 3" descr="Logo Fernandes 03.JPG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59315" y="274760"/>
          <a:ext cx="2486025" cy="326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14495</xdr:colOff>
      <xdr:row>2</xdr:row>
      <xdr:rowOff>147016</xdr:rowOff>
    </xdr:from>
    <xdr:to>
      <xdr:col>14</xdr:col>
      <xdr:colOff>365263</xdr:colOff>
      <xdr:row>4</xdr:row>
      <xdr:rowOff>49695</xdr:rowOff>
    </xdr:to>
    <xdr:pic>
      <xdr:nvPicPr>
        <xdr:cNvPr id="3241" name="Imagem 3" descr="Logo Fernandes 03.JPG">
          <a:extLst>
            <a:ext uri="{FF2B5EF4-FFF2-40B4-BE49-F238E27FC236}">
              <a16:creationId xmlns:a16="http://schemas.microsoft.com/office/drawing/2014/main" id="{00000000-0008-0000-0100-0000A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12691" y="378929"/>
          <a:ext cx="2487681" cy="3085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1076325</xdr:colOff>
      <xdr:row>2</xdr:row>
      <xdr:rowOff>57150</xdr:rowOff>
    </xdr:from>
    <xdr:to>
      <xdr:col>14</xdr:col>
      <xdr:colOff>104775</xdr:colOff>
      <xdr:row>3</xdr:row>
      <xdr:rowOff>161925</xdr:rowOff>
    </xdr:to>
    <xdr:pic>
      <xdr:nvPicPr>
        <xdr:cNvPr id="4265" name="Imagem 3" descr="Logo Fernandes 03.JPG">
          <a:extLst>
            <a:ext uri="{FF2B5EF4-FFF2-40B4-BE49-F238E27FC236}">
              <a16:creationId xmlns:a16="http://schemas.microsoft.com/office/drawing/2014/main" id="{00000000-0008-0000-0200-0000A9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285750"/>
          <a:ext cx="24860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1650756</xdr:colOff>
      <xdr:row>2</xdr:row>
      <xdr:rowOff>59953</xdr:rowOff>
    </xdr:from>
    <xdr:to>
      <xdr:col>5</xdr:col>
      <xdr:colOff>4157869</xdr:colOff>
      <xdr:row>4</xdr:row>
      <xdr:rowOff>1</xdr:rowOff>
    </xdr:to>
    <xdr:pic>
      <xdr:nvPicPr>
        <xdr:cNvPr id="2" name="Imagem 1" descr="Logo Fernandes 03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79606" y="383803"/>
          <a:ext cx="2507113" cy="359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1538654</xdr:colOff>
      <xdr:row>40</xdr:row>
      <xdr:rowOff>95250</xdr:rowOff>
    </xdr:from>
    <xdr:to>
      <xdr:col>6</xdr:col>
      <xdr:colOff>274027</xdr:colOff>
      <xdr:row>43</xdr:row>
      <xdr:rowOff>11723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7504" y="6848475"/>
          <a:ext cx="3888398" cy="402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tos%20-%202021/Alta%20Floresta/Unemat%20-%20Ivone/Planilha%20Estacionamento%20concr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 orçamentária"/>
      <sheetName val="cronograma físico-financeiro"/>
      <sheetName val="Capa"/>
      <sheetName val="BDI"/>
      <sheetName val="Plan3"/>
    </sheetNames>
    <sheetDataSet>
      <sheetData sheetId="0">
        <row r="5">
          <cell r="E5" t="str">
            <v>CNPJ 10.716.738/0001-03</v>
          </cell>
          <cell r="F5"/>
          <cell r="G5"/>
          <cell r="H5"/>
          <cell r="I5"/>
          <cell r="J5"/>
          <cell r="K5"/>
          <cell r="L5"/>
        </row>
        <row r="15">
          <cell r="E15" t="str">
            <v>1.0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R179"/>
  <sheetViews>
    <sheetView view="pageBreakPreview" topLeftCell="B148" zoomScaleNormal="100" zoomScaleSheetLayoutView="100" workbookViewId="0">
      <selection activeCell="D3" sqref="D3:L178"/>
    </sheetView>
  </sheetViews>
  <sheetFormatPr defaultRowHeight="12.75"/>
  <cols>
    <col min="3" max="3" width="5.85546875" customWidth="1"/>
    <col min="4" max="4" width="0.85546875" customWidth="1"/>
    <col min="5" max="5" width="12.5703125" style="8" customWidth="1"/>
    <col min="6" max="6" width="87.28515625" customWidth="1"/>
    <col min="7" max="7" width="9.7109375" customWidth="1"/>
    <col min="8" max="8" width="10.7109375" style="1" hidden="1" customWidth="1"/>
    <col min="9" max="9" width="8.42578125" style="104" bestFit="1" customWidth="1"/>
    <col min="10" max="10" width="9.85546875" style="1" bestFit="1" customWidth="1"/>
    <col min="11" max="11" width="12.5703125" style="1" customWidth="1"/>
    <col min="12" max="12" width="13.140625" style="19" customWidth="1"/>
    <col min="13" max="15" width="0.7109375" customWidth="1"/>
    <col min="16" max="16" width="12.7109375" customWidth="1"/>
  </cols>
  <sheetData>
    <row r="1" spans="5:17">
      <c r="H1"/>
      <c r="I1" s="98"/>
      <c r="J1"/>
      <c r="K1"/>
    </row>
    <row r="2" spans="5:17" ht="5.25" customHeight="1">
      <c r="F2" s="12"/>
      <c r="H2"/>
      <c r="I2" s="98"/>
      <c r="J2"/>
      <c r="K2"/>
    </row>
    <row r="3" spans="5:17" ht="11.25" customHeight="1">
      <c r="E3" s="140"/>
      <c r="F3" s="20"/>
      <c r="G3" s="10"/>
      <c r="H3" s="10"/>
      <c r="I3" s="99"/>
      <c r="J3" s="11"/>
      <c r="K3" s="11"/>
      <c r="L3" s="22"/>
    </row>
    <row r="4" spans="5:17" ht="20.25" customHeight="1">
      <c r="E4" s="248"/>
      <c r="F4" s="249"/>
      <c r="G4" s="249"/>
      <c r="H4" s="249"/>
      <c r="I4" s="249"/>
      <c r="J4" s="249"/>
      <c r="K4" s="249"/>
      <c r="L4" s="250"/>
    </row>
    <row r="5" spans="5:17" ht="15.75" customHeight="1">
      <c r="E5" s="251" t="s">
        <v>44</v>
      </c>
      <c r="F5" s="252"/>
      <c r="G5" s="252"/>
      <c r="H5" s="252"/>
      <c r="I5" s="252"/>
      <c r="J5" s="252"/>
      <c r="K5" s="252"/>
      <c r="L5" s="253"/>
    </row>
    <row r="6" spans="5:17" ht="6" customHeight="1">
      <c r="E6" s="141"/>
      <c r="F6" s="13"/>
      <c r="G6" s="12"/>
      <c r="H6" s="14"/>
      <c r="I6" s="100"/>
      <c r="J6" s="14"/>
      <c r="K6" s="14"/>
      <c r="L6" s="24"/>
    </row>
    <row r="7" spans="5:17" ht="9" customHeight="1">
      <c r="F7" s="8"/>
      <c r="I7" s="101"/>
    </row>
    <row r="8" spans="5:17" ht="18">
      <c r="E8" s="155" t="s">
        <v>25</v>
      </c>
      <c r="F8" s="17"/>
      <c r="G8" s="17"/>
      <c r="H8" s="17"/>
      <c r="I8" s="17"/>
      <c r="J8" s="17"/>
      <c r="K8" s="17"/>
    </row>
    <row r="9" spans="5:17">
      <c r="E9" s="156" t="s">
        <v>58</v>
      </c>
      <c r="H9"/>
      <c r="I9" s="102"/>
      <c r="J9"/>
      <c r="K9" s="15"/>
    </row>
    <row r="10" spans="5:17">
      <c r="E10" s="156" t="s">
        <v>59</v>
      </c>
      <c r="F10" s="8"/>
      <c r="I10" s="101"/>
    </row>
    <row r="11" spans="5:17">
      <c r="E11" s="156" t="s">
        <v>169</v>
      </c>
      <c r="F11" s="8"/>
      <c r="I11" s="101"/>
    </row>
    <row r="12" spans="5:17" ht="13.5" thickBot="1">
      <c r="E12" s="156" t="s">
        <v>177</v>
      </c>
      <c r="F12" s="8"/>
      <c r="I12" s="101"/>
    </row>
    <row r="13" spans="5:17">
      <c r="E13" s="157" t="s">
        <v>201</v>
      </c>
      <c r="F13" s="16"/>
      <c r="G13" s="16"/>
      <c r="H13" s="16"/>
      <c r="I13" s="16"/>
      <c r="J13" s="3"/>
      <c r="K13" s="3"/>
      <c r="P13" s="107" t="s">
        <v>43</v>
      </c>
      <c r="Q13" s="109" t="s">
        <v>17</v>
      </c>
    </row>
    <row r="14" spans="5:17" ht="13.5" thickBot="1">
      <c r="E14" s="5" t="s">
        <v>19</v>
      </c>
      <c r="F14" s="2" t="s">
        <v>18</v>
      </c>
      <c r="G14" s="2" t="s">
        <v>24</v>
      </c>
      <c r="H14" s="2" t="s">
        <v>20</v>
      </c>
      <c r="I14" s="2" t="s">
        <v>23</v>
      </c>
      <c r="J14" s="2" t="s">
        <v>21</v>
      </c>
      <c r="K14" s="2" t="s">
        <v>17</v>
      </c>
      <c r="L14" s="25" t="s">
        <v>22</v>
      </c>
      <c r="P14" s="108">
        <v>0</v>
      </c>
      <c r="Q14">
        <v>0.2979</v>
      </c>
    </row>
    <row r="15" spans="5:17">
      <c r="E15" s="142"/>
      <c r="F15" s="137"/>
      <c r="G15" s="137"/>
      <c r="H15" s="36"/>
      <c r="I15" s="138"/>
      <c r="J15" s="218"/>
      <c r="K15" s="218"/>
      <c r="L15" s="37"/>
    </row>
    <row r="16" spans="5:17">
      <c r="E16" s="214"/>
      <c r="F16" s="225"/>
      <c r="G16" s="225"/>
      <c r="H16" s="225"/>
      <c r="I16" s="226"/>
      <c r="J16" s="225"/>
      <c r="K16" s="225"/>
      <c r="L16" s="228"/>
      <c r="M16" s="6"/>
    </row>
    <row r="17" spans="4:16">
      <c r="D17" s="233"/>
      <c r="E17" s="234" t="s">
        <v>27</v>
      </c>
      <c r="F17" s="227" t="s">
        <v>190</v>
      </c>
      <c r="G17" s="225"/>
      <c r="H17" s="225"/>
      <c r="I17" s="226"/>
      <c r="J17" s="225"/>
      <c r="K17" s="225"/>
      <c r="L17" s="228"/>
      <c r="M17" s="6"/>
    </row>
    <row r="18" spans="4:16">
      <c r="E18" s="214"/>
      <c r="F18" s="227"/>
      <c r="G18" s="225"/>
      <c r="H18" s="225"/>
      <c r="I18" s="226"/>
      <c r="J18" s="225"/>
      <c r="K18" s="225"/>
      <c r="L18" s="228"/>
      <c r="M18" s="6"/>
    </row>
    <row r="19" spans="4:16">
      <c r="E19" s="215">
        <v>90777</v>
      </c>
      <c r="F19" s="150" t="s">
        <v>191</v>
      </c>
      <c r="G19" s="129" t="s">
        <v>192</v>
      </c>
      <c r="H19" s="129"/>
      <c r="I19" s="125">
        <v>312</v>
      </c>
      <c r="J19" s="125">
        <f t="shared" ref="J19" si="0">P19*(1+$P$14/100)</f>
        <v>109.42</v>
      </c>
      <c r="K19" s="125">
        <f t="shared" ref="K19" si="1">J19*$Q$14</f>
        <v>32.596218</v>
      </c>
      <c r="L19" s="229">
        <f t="shared" ref="L19" si="2">I19*(J19+K19)</f>
        <v>44309.060016000003</v>
      </c>
      <c r="M19" s="230"/>
      <c r="N19" s="98"/>
      <c r="O19" s="98"/>
      <c r="P19" s="98">
        <v>109.42</v>
      </c>
    </row>
    <row r="20" spans="4:16">
      <c r="E20" s="215">
        <v>90780</v>
      </c>
      <c r="F20" s="150" t="s">
        <v>193</v>
      </c>
      <c r="G20" s="129" t="s">
        <v>192</v>
      </c>
      <c r="H20" s="225"/>
      <c r="I20" s="125">
        <v>1440</v>
      </c>
      <c r="J20" s="125">
        <f t="shared" ref="J20" si="3">P20*(1+$P$14/100)</f>
        <v>57.8</v>
      </c>
      <c r="K20" s="125">
        <f t="shared" ref="K20" si="4">J20*$Q$14</f>
        <v>17.218619999999998</v>
      </c>
      <c r="L20" s="229">
        <f t="shared" ref="L20" si="5">I20*(J20+K20)</f>
        <v>108026.8128</v>
      </c>
      <c r="M20" s="231"/>
      <c r="P20">
        <v>57.8</v>
      </c>
    </row>
    <row r="21" spans="4:16">
      <c r="D21" s="233"/>
      <c r="E21" s="236">
        <v>94296</v>
      </c>
      <c r="F21" s="150" t="s">
        <v>194</v>
      </c>
      <c r="G21" s="129" t="s">
        <v>195</v>
      </c>
      <c r="H21" s="225"/>
      <c r="I21" s="129">
        <v>2</v>
      </c>
      <c r="J21" s="125">
        <f t="shared" ref="J21" si="6">P21*(1+$P$14/100)</f>
        <v>3699.55</v>
      </c>
      <c r="K21" s="125">
        <f t="shared" ref="K21" si="7">J21*$Q$14</f>
        <v>1102.095945</v>
      </c>
      <c r="L21" s="229">
        <f t="shared" ref="L21" si="8">I21*(J21+K21)</f>
        <v>9603.2918900000004</v>
      </c>
      <c r="M21" s="6"/>
      <c r="P21">
        <v>3699.55</v>
      </c>
    </row>
    <row r="22" spans="4:16">
      <c r="D22" s="233"/>
      <c r="E22" s="236"/>
      <c r="F22" s="150"/>
      <c r="G22" s="129"/>
      <c r="H22" s="225"/>
      <c r="I22" s="129"/>
      <c r="J22" s="125"/>
      <c r="K22" s="125"/>
      <c r="L22" s="229"/>
      <c r="M22" s="6"/>
    </row>
    <row r="23" spans="4:16">
      <c r="D23" s="233"/>
      <c r="E23" s="234"/>
      <c r="F23" s="26" t="s">
        <v>6</v>
      </c>
      <c r="G23" s="225"/>
      <c r="H23" s="225"/>
      <c r="I23" s="226"/>
      <c r="J23" s="225"/>
      <c r="K23" s="225"/>
      <c r="L23" s="228">
        <f>SUM(L19:L21)</f>
        <v>161939.16470600001</v>
      </c>
      <c r="M23" s="6"/>
    </row>
    <row r="24" spans="4:16">
      <c r="E24" s="235" t="s">
        <v>28</v>
      </c>
      <c r="F24" s="227" t="s">
        <v>26</v>
      </c>
      <c r="G24" s="225"/>
      <c r="H24" s="225"/>
      <c r="I24" s="226"/>
      <c r="J24" s="225"/>
      <c r="K24" s="225"/>
      <c r="L24" s="228"/>
      <c r="M24" s="6"/>
    </row>
    <row r="25" spans="4:16">
      <c r="D25" s="233"/>
      <c r="E25" s="232"/>
      <c r="F25" s="227"/>
      <c r="G25" s="225"/>
      <c r="H25" s="225"/>
      <c r="I25" s="226"/>
      <c r="J25" s="225"/>
      <c r="K25" s="225"/>
      <c r="L25" s="228"/>
      <c r="M25" s="6"/>
    </row>
    <row r="26" spans="4:16">
      <c r="E26" s="219">
        <v>93208</v>
      </c>
      <c r="F26" s="220" t="s">
        <v>184</v>
      </c>
      <c r="G26" s="221" t="s">
        <v>3</v>
      </c>
      <c r="H26" s="136"/>
      <c r="I26" s="222">
        <v>20</v>
      </c>
      <c r="J26" s="222">
        <f t="shared" ref="J26" si="9">P26*(1+$P$14/100)</f>
        <v>900.56</v>
      </c>
      <c r="K26" s="223">
        <f t="shared" ref="K26" si="10">J26*$Q$14</f>
        <v>268.27682399999998</v>
      </c>
      <c r="L26" s="224">
        <f t="shared" ref="L26" si="11">I26*(J26+K26)</f>
        <v>23376.73648</v>
      </c>
      <c r="M26" s="98"/>
      <c r="N26" s="98"/>
      <c r="O26" s="98"/>
      <c r="P26" s="98">
        <v>900.56</v>
      </c>
    </row>
    <row r="27" spans="4:16" ht="25.5">
      <c r="E27" s="213">
        <v>93583</v>
      </c>
      <c r="F27" s="128" t="s">
        <v>185</v>
      </c>
      <c r="G27" s="212" t="s">
        <v>3</v>
      </c>
      <c r="H27" s="136"/>
      <c r="I27" s="125">
        <v>50</v>
      </c>
      <c r="J27" s="125">
        <f t="shared" ref="J27" si="12">P27*(1+$P$14/100)</f>
        <v>457.66</v>
      </c>
      <c r="K27" s="126">
        <f t="shared" ref="K27" si="13">J27*$Q$14</f>
        <v>136.33691400000001</v>
      </c>
      <c r="L27" s="127">
        <f t="shared" ref="L27" si="14">I27*(J27+K27)</f>
        <v>29699.845700000002</v>
      </c>
      <c r="M27" s="98"/>
      <c r="N27" s="98"/>
      <c r="O27" s="98"/>
      <c r="P27" s="98">
        <v>457.66</v>
      </c>
    </row>
    <row r="28" spans="4:16">
      <c r="E28" s="213">
        <v>98459</v>
      </c>
      <c r="F28" s="128" t="s">
        <v>186</v>
      </c>
      <c r="G28" s="212" t="s">
        <v>3</v>
      </c>
      <c r="H28" s="136"/>
      <c r="I28" s="125">
        <v>180</v>
      </c>
      <c r="J28" s="125">
        <f t="shared" ref="J28" si="15">P28*(1+$P$14/100)</f>
        <v>102.55</v>
      </c>
      <c r="K28" s="126">
        <f t="shared" ref="K28" si="16">J28*$Q$14</f>
        <v>30.549644999999998</v>
      </c>
      <c r="L28" s="127">
        <f t="shared" ref="L28" si="17">I28*(J28+K28)</f>
        <v>23957.936100000003</v>
      </c>
      <c r="M28" s="98"/>
      <c r="N28" s="98"/>
      <c r="O28" s="98"/>
      <c r="P28" s="98">
        <v>102.55</v>
      </c>
    </row>
    <row r="29" spans="4:16">
      <c r="E29" s="213">
        <v>98462</v>
      </c>
      <c r="F29" s="128" t="s">
        <v>198</v>
      </c>
      <c r="G29" s="212" t="s">
        <v>53</v>
      </c>
      <c r="H29" s="136"/>
      <c r="I29" s="125">
        <v>1</v>
      </c>
      <c r="J29" s="125">
        <f t="shared" ref="J29" si="18">P29*(1+$P$14/100)</f>
        <v>8035.17</v>
      </c>
      <c r="K29" s="126">
        <f t="shared" ref="K29" si="19">J29*$Q$14</f>
        <v>2393.6771429999999</v>
      </c>
      <c r="L29" s="127">
        <f t="shared" ref="L29" si="20">I29*(J29+K29)</f>
        <v>10428.847142999999</v>
      </c>
      <c r="M29" s="98"/>
      <c r="N29" s="98"/>
      <c r="O29" s="98"/>
      <c r="P29" s="98">
        <v>8035.17</v>
      </c>
    </row>
    <row r="30" spans="4:16">
      <c r="E30" s="143">
        <v>4813</v>
      </c>
      <c r="F30" s="128" t="s">
        <v>158</v>
      </c>
      <c r="G30" s="124" t="s">
        <v>3</v>
      </c>
      <c r="H30" s="125"/>
      <c r="I30" s="125">
        <v>2.25</v>
      </c>
      <c r="J30" s="125">
        <f t="shared" ref="J30:J33" si="21">P30*(1+$P$14/100)</f>
        <v>250</v>
      </c>
      <c r="K30" s="126">
        <f t="shared" ref="K30:K33" si="22">J30*$Q$14</f>
        <v>74.474999999999994</v>
      </c>
      <c r="L30" s="127">
        <f t="shared" ref="L30:L33" si="23">I30*(J30+K30)</f>
        <v>730.06875000000002</v>
      </c>
      <c r="M30" s="98"/>
      <c r="N30" s="98"/>
      <c r="O30" s="98"/>
      <c r="P30" s="98">
        <v>250</v>
      </c>
    </row>
    <row r="31" spans="4:16" ht="25.5">
      <c r="E31" s="143">
        <v>97649</v>
      </c>
      <c r="F31" s="128" t="s">
        <v>62</v>
      </c>
      <c r="G31" s="124" t="s">
        <v>3</v>
      </c>
      <c r="H31" s="125"/>
      <c r="I31" s="125">
        <v>642.89</v>
      </c>
      <c r="J31" s="125">
        <f t="shared" si="21"/>
        <v>3.85</v>
      </c>
      <c r="K31" s="126">
        <f t="shared" si="22"/>
        <v>1.1469150000000001</v>
      </c>
      <c r="L31" s="127">
        <f t="shared" si="23"/>
        <v>3212.4666843500004</v>
      </c>
      <c r="M31" s="98"/>
      <c r="N31" s="98"/>
      <c r="O31" s="98"/>
      <c r="P31" s="98">
        <v>3.85</v>
      </c>
    </row>
    <row r="32" spans="4:16">
      <c r="E32" s="143">
        <v>97650</v>
      </c>
      <c r="F32" s="128" t="s">
        <v>63</v>
      </c>
      <c r="G32" s="124" t="s">
        <v>3</v>
      </c>
      <c r="H32" s="125"/>
      <c r="I32" s="125">
        <v>642.89</v>
      </c>
      <c r="J32" s="125">
        <f t="shared" si="21"/>
        <v>6.54</v>
      </c>
      <c r="K32" s="126">
        <f t="shared" si="22"/>
        <v>1.9482660000000001</v>
      </c>
      <c r="L32" s="127">
        <f t="shared" si="23"/>
        <v>5457.0213287399993</v>
      </c>
      <c r="M32" s="98"/>
      <c r="N32" s="98"/>
      <c r="O32" s="98"/>
      <c r="P32" s="98">
        <v>6.54</v>
      </c>
    </row>
    <row r="33" spans="5:17" ht="25.5">
      <c r="E33" s="143">
        <v>97654</v>
      </c>
      <c r="F33" s="128" t="s">
        <v>64</v>
      </c>
      <c r="G33" s="124" t="s">
        <v>53</v>
      </c>
      <c r="H33" s="125"/>
      <c r="I33" s="125">
        <v>15</v>
      </c>
      <c r="J33" s="125">
        <f t="shared" si="21"/>
        <v>142.02000000000001</v>
      </c>
      <c r="K33" s="126">
        <f t="shared" si="22"/>
        <v>42.307758</v>
      </c>
      <c r="L33" s="127">
        <f t="shared" si="23"/>
        <v>2764.9163700000004</v>
      </c>
      <c r="M33" s="98"/>
      <c r="N33" s="98"/>
      <c r="O33" s="98"/>
      <c r="P33" s="98">
        <v>142.02000000000001</v>
      </c>
    </row>
    <row r="34" spans="5:17">
      <c r="E34" s="143">
        <v>97629</v>
      </c>
      <c r="F34" s="128" t="s">
        <v>175</v>
      </c>
      <c r="G34" s="124" t="s">
        <v>176</v>
      </c>
      <c r="H34" s="125"/>
      <c r="I34" s="125">
        <v>8</v>
      </c>
      <c r="J34" s="125">
        <f t="shared" ref="J34" si="24">P34*(1+$P$14/100)</f>
        <v>106.43</v>
      </c>
      <c r="K34" s="126">
        <f t="shared" ref="K34" si="25">J34*$Q$14</f>
        <v>31.705497000000001</v>
      </c>
      <c r="L34" s="127">
        <f t="shared" ref="L34" si="26">I34*(J34+K34)</f>
        <v>1105.0839760000001</v>
      </c>
      <c r="M34" s="98"/>
      <c r="N34" s="98"/>
      <c r="O34" s="98"/>
      <c r="P34" s="98">
        <v>106.43</v>
      </c>
    </row>
    <row r="35" spans="5:17">
      <c r="E35" s="144"/>
      <c r="F35" s="26" t="s">
        <v>6</v>
      </c>
      <c r="G35" s="27"/>
      <c r="H35" s="28"/>
      <c r="I35" s="97"/>
      <c r="J35" s="125"/>
      <c r="K35" s="126"/>
      <c r="L35" s="29">
        <f>SUM(L26:L34)</f>
        <v>100732.92253209002</v>
      </c>
      <c r="M35" s="98"/>
      <c r="N35" s="98"/>
      <c r="O35" s="98"/>
      <c r="P35" s="98"/>
    </row>
    <row r="36" spans="5:17">
      <c r="E36" s="214" t="s">
        <v>56</v>
      </c>
      <c r="F36" s="18" t="s">
        <v>124</v>
      </c>
      <c r="G36" s="116"/>
      <c r="H36" s="117"/>
      <c r="I36" s="117"/>
      <c r="J36" s="117"/>
      <c r="K36" s="118"/>
      <c r="L36" s="119"/>
      <c r="M36" s="120"/>
      <c r="N36" s="120"/>
      <c r="O36" s="120"/>
      <c r="P36" s="117"/>
    </row>
    <row r="37" spans="5:17">
      <c r="E37" s="145"/>
      <c r="F37" s="18"/>
      <c r="G37" s="116"/>
      <c r="H37" s="117"/>
      <c r="I37" s="117"/>
      <c r="J37" s="117"/>
      <c r="K37" s="118"/>
      <c r="L37" s="119"/>
      <c r="M37" s="120"/>
      <c r="N37" s="120"/>
      <c r="O37" s="120"/>
      <c r="P37" s="117"/>
    </row>
    <row r="38" spans="5:17" ht="25.5">
      <c r="E38" s="215">
        <v>97063</v>
      </c>
      <c r="F38" s="114" t="s">
        <v>71</v>
      </c>
      <c r="G38" s="124" t="s">
        <v>3</v>
      </c>
      <c r="H38" s="117"/>
      <c r="I38" s="125">
        <v>480</v>
      </c>
      <c r="J38" s="125">
        <f t="shared" ref="J38:J39" si="27">P38*(1+$P$14/100)</f>
        <v>8.24</v>
      </c>
      <c r="K38" s="126">
        <f t="shared" ref="K38:K39" si="28">J38*$Q$14</f>
        <v>2.4546960000000002</v>
      </c>
      <c r="L38" s="139">
        <f t="shared" ref="L38:L39" si="29">I38*(J38+K38)</f>
        <v>5133.4540800000004</v>
      </c>
      <c r="M38" s="98"/>
      <c r="N38" s="98"/>
      <c r="O38" s="98"/>
      <c r="P38" s="125">
        <v>8.24</v>
      </c>
    </row>
    <row r="39" spans="5:17">
      <c r="E39" s="216">
        <v>97062</v>
      </c>
      <c r="F39" s="114" t="s">
        <v>86</v>
      </c>
      <c r="G39" s="124" t="s">
        <v>3</v>
      </c>
      <c r="H39" s="117"/>
      <c r="I39" s="125">
        <v>56</v>
      </c>
      <c r="J39" s="125">
        <f t="shared" si="27"/>
        <v>7.01</v>
      </c>
      <c r="K39" s="126">
        <f t="shared" si="28"/>
        <v>2.088279</v>
      </c>
      <c r="L39" s="139">
        <f t="shared" si="29"/>
        <v>509.503624</v>
      </c>
      <c r="M39" s="98"/>
      <c r="N39" s="98"/>
      <c r="O39" s="98"/>
      <c r="P39" s="125">
        <v>7.01</v>
      </c>
    </row>
    <row r="40" spans="5:17">
      <c r="E40" s="216">
        <v>92269</v>
      </c>
      <c r="F40" s="114" t="s">
        <v>65</v>
      </c>
      <c r="G40" s="124" t="s">
        <v>3</v>
      </c>
      <c r="H40" s="125"/>
      <c r="I40" s="125">
        <v>220</v>
      </c>
      <c r="J40" s="125">
        <f t="shared" ref="J40:J41" si="30">P40*(1+$P$14/100)</f>
        <v>201.06</v>
      </c>
      <c r="K40" s="126">
        <f t="shared" ref="K40:K41" si="31">J40*$Q$14</f>
        <v>59.895774000000003</v>
      </c>
      <c r="L40" s="139">
        <f t="shared" ref="L40:L41" si="32">I40*(J40+K40)</f>
        <v>57410.270280000004</v>
      </c>
      <c r="M40" s="98"/>
      <c r="N40" s="98"/>
      <c r="O40" s="98"/>
      <c r="P40" s="125">
        <v>201.06</v>
      </c>
    </row>
    <row r="41" spans="5:17" ht="25.5">
      <c r="E41" s="216">
        <v>92411</v>
      </c>
      <c r="F41" s="114" t="s">
        <v>125</v>
      </c>
      <c r="G41" s="124" t="s">
        <v>3</v>
      </c>
      <c r="H41" s="125"/>
      <c r="I41" s="125">
        <v>220</v>
      </c>
      <c r="J41" s="125">
        <f t="shared" si="30"/>
        <v>181.38</v>
      </c>
      <c r="K41" s="126">
        <f t="shared" si="31"/>
        <v>54.033102</v>
      </c>
      <c r="L41" s="139">
        <f t="shared" si="32"/>
        <v>51790.882439999994</v>
      </c>
      <c r="M41" s="98"/>
      <c r="N41" s="98"/>
      <c r="O41" s="98"/>
      <c r="P41" s="125">
        <v>181.38</v>
      </c>
    </row>
    <row r="42" spans="5:17" ht="25.5">
      <c r="E42" s="215">
        <v>92759</v>
      </c>
      <c r="F42" s="114" t="s">
        <v>45</v>
      </c>
      <c r="G42" s="129" t="s">
        <v>41</v>
      </c>
      <c r="H42" s="125"/>
      <c r="I42" s="125">
        <v>1731</v>
      </c>
      <c r="J42" s="125">
        <f>P42*(1+$P$14/100)</f>
        <v>15.9</v>
      </c>
      <c r="K42" s="126">
        <f>J42*$Q$14</f>
        <v>4.7366099999999998</v>
      </c>
      <c r="L42" s="139">
        <f>I42*(J42+K42)</f>
        <v>35721.97191</v>
      </c>
      <c r="M42" s="98"/>
      <c r="N42" s="98"/>
      <c r="O42" s="98"/>
      <c r="P42" s="125">
        <v>15.9</v>
      </c>
      <c r="Q42" s="4"/>
    </row>
    <row r="43" spans="5:17" ht="25.5">
      <c r="E43" s="215">
        <v>92762</v>
      </c>
      <c r="F43" s="114" t="s">
        <v>46</v>
      </c>
      <c r="G43" s="129" t="s">
        <v>41</v>
      </c>
      <c r="H43" s="125"/>
      <c r="I43" s="125">
        <v>1915</v>
      </c>
      <c r="J43" s="125">
        <f>P43*(1+$P$14/100)</f>
        <v>13.57</v>
      </c>
      <c r="K43" s="126">
        <f>J43*$Q$14</f>
        <v>4.042503</v>
      </c>
      <c r="L43" s="139">
        <f>I43*(J43+K43)</f>
        <v>33727.943245000002</v>
      </c>
      <c r="M43" s="98"/>
      <c r="N43" s="98"/>
      <c r="O43" s="98"/>
      <c r="P43" s="125">
        <v>13.57</v>
      </c>
      <c r="Q43" s="4"/>
    </row>
    <row r="44" spans="5:17">
      <c r="E44" s="215">
        <v>92271</v>
      </c>
      <c r="F44" s="114" t="s">
        <v>67</v>
      </c>
      <c r="G44" s="129" t="s">
        <v>3</v>
      </c>
      <c r="H44" s="125"/>
      <c r="I44" s="125">
        <v>770</v>
      </c>
      <c r="J44" s="125">
        <f>P44*(1+$P$14/100)</f>
        <v>93.78</v>
      </c>
      <c r="K44" s="126">
        <f>J44*$Q$14</f>
        <v>27.937062000000001</v>
      </c>
      <c r="L44" s="139">
        <f>I44*(J44+K44)</f>
        <v>93722.137740000006</v>
      </c>
      <c r="M44" s="98"/>
      <c r="N44" s="98"/>
      <c r="O44" s="98"/>
      <c r="P44" s="125">
        <v>93.78</v>
      </c>
      <c r="Q44" s="4"/>
    </row>
    <row r="45" spans="5:17" ht="25.5">
      <c r="E45" s="215">
        <v>101963</v>
      </c>
      <c r="F45" s="114" t="s">
        <v>66</v>
      </c>
      <c r="G45" s="129" t="s">
        <v>3</v>
      </c>
      <c r="H45" s="125"/>
      <c r="I45" s="125">
        <v>769.72</v>
      </c>
      <c r="J45" s="125">
        <f>P45*(1+$P$14/100)</f>
        <v>201.8</v>
      </c>
      <c r="K45" s="126">
        <f>J45*$Q$14</f>
        <v>60.116220000000006</v>
      </c>
      <c r="L45" s="139">
        <f>I45*(J45+K45)</f>
        <v>201602.15285840002</v>
      </c>
      <c r="M45" s="98"/>
      <c r="N45" s="98"/>
      <c r="O45" s="98"/>
      <c r="P45" s="125">
        <v>201.8</v>
      </c>
      <c r="Q45" s="4"/>
    </row>
    <row r="46" spans="5:17" ht="25.5">
      <c r="E46" s="215">
        <v>92767</v>
      </c>
      <c r="F46" s="114" t="s">
        <v>68</v>
      </c>
      <c r="G46" s="129" t="s">
        <v>41</v>
      </c>
      <c r="H46" s="125"/>
      <c r="I46" s="125">
        <f>I45*0.8</f>
        <v>615.77600000000007</v>
      </c>
      <c r="J46" s="125">
        <f>P46*(1+$P$14/100)</f>
        <v>17.170000000000002</v>
      </c>
      <c r="K46" s="126">
        <f>J46*$Q$14</f>
        <v>5.1149430000000002</v>
      </c>
      <c r="L46" s="139">
        <f>I46*(J46+K46)</f>
        <v>13722.533060768003</v>
      </c>
      <c r="M46" s="98"/>
      <c r="N46" s="98"/>
      <c r="O46" s="98"/>
      <c r="P46" s="125">
        <v>17.170000000000002</v>
      </c>
      <c r="Q46" s="4"/>
    </row>
    <row r="47" spans="5:17" ht="25.5">
      <c r="E47" s="216">
        <v>94966</v>
      </c>
      <c r="F47" s="114" t="s">
        <v>69</v>
      </c>
      <c r="G47" s="124" t="s">
        <v>2</v>
      </c>
      <c r="H47" s="125"/>
      <c r="I47" s="125">
        <f>0.08*I45+15</f>
        <v>76.577600000000004</v>
      </c>
      <c r="J47" s="125">
        <f t="shared" ref="J47:J49" si="33">P47*(1+$P$14/100)</f>
        <v>580.67999999999995</v>
      </c>
      <c r="K47" s="126">
        <f t="shared" ref="K47:K49" si="34">J47*$Q$14</f>
        <v>172.98457199999999</v>
      </c>
      <c r="L47" s="139">
        <f t="shared" ref="L47:L49" si="35">I47*(J47+K47)</f>
        <v>57713.824128787193</v>
      </c>
      <c r="M47" s="98"/>
      <c r="N47" s="98"/>
      <c r="O47" s="98"/>
      <c r="P47" s="125">
        <v>580.67999999999995</v>
      </c>
      <c r="Q47" s="4"/>
    </row>
    <row r="48" spans="5:17" ht="25.5">
      <c r="E48" s="143">
        <v>101990</v>
      </c>
      <c r="F48" s="128" t="s">
        <v>173</v>
      </c>
      <c r="G48" s="124" t="s">
        <v>3</v>
      </c>
      <c r="H48" s="125"/>
      <c r="I48" s="125">
        <v>18</v>
      </c>
      <c r="J48" s="125">
        <f t="shared" si="33"/>
        <v>208.19</v>
      </c>
      <c r="K48" s="126">
        <f t="shared" si="34"/>
        <v>62.019801000000001</v>
      </c>
      <c r="L48" s="127">
        <f t="shared" si="35"/>
        <v>4863.7764179999995</v>
      </c>
      <c r="M48" s="98"/>
      <c r="N48" s="98"/>
      <c r="O48" s="98"/>
      <c r="P48" s="98">
        <v>208.19</v>
      </c>
      <c r="Q48" s="1"/>
    </row>
    <row r="49" spans="5:17" ht="25.5">
      <c r="E49" s="143">
        <v>102075</v>
      </c>
      <c r="F49" s="128" t="s">
        <v>174</v>
      </c>
      <c r="G49" s="124" t="s">
        <v>170</v>
      </c>
      <c r="H49" s="125"/>
      <c r="I49" s="125">
        <v>4.5999999999999996</v>
      </c>
      <c r="J49" s="125">
        <f t="shared" si="33"/>
        <v>5382.92</v>
      </c>
      <c r="K49" s="126">
        <f t="shared" si="34"/>
        <v>1603.571868</v>
      </c>
      <c r="L49" s="127">
        <f t="shared" si="35"/>
        <v>32137.862592799996</v>
      </c>
      <c r="M49" s="98"/>
      <c r="N49" s="98"/>
      <c r="O49" s="98"/>
      <c r="P49" s="98">
        <v>5382.92</v>
      </c>
      <c r="Q49" s="1"/>
    </row>
    <row r="50" spans="5:17">
      <c r="E50" s="144"/>
      <c r="F50" s="26" t="s">
        <v>6</v>
      </c>
      <c r="G50" s="27"/>
      <c r="H50" s="28"/>
      <c r="I50" s="97"/>
      <c r="J50" s="125"/>
      <c r="K50" s="126"/>
      <c r="L50" s="29">
        <f>SUM(L38:L49)</f>
        <v>588056.3123777553</v>
      </c>
      <c r="M50" s="120"/>
      <c r="N50" s="120"/>
      <c r="O50" s="120"/>
      <c r="P50" s="121"/>
    </row>
    <row r="51" spans="5:17">
      <c r="E51" s="214" t="s">
        <v>8</v>
      </c>
      <c r="F51" s="18" t="s">
        <v>9</v>
      </c>
      <c r="G51" s="124"/>
      <c r="H51" s="125"/>
      <c r="I51" s="125"/>
      <c r="J51" s="125"/>
      <c r="K51" s="126"/>
      <c r="L51" s="139"/>
      <c r="M51" s="120"/>
      <c r="N51" s="120"/>
      <c r="O51" s="120"/>
      <c r="P51" s="117"/>
    </row>
    <row r="52" spans="5:17">
      <c r="E52" s="144"/>
      <c r="F52" s="122"/>
      <c r="G52" s="116"/>
      <c r="H52" s="117"/>
      <c r="I52" s="117"/>
      <c r="J52" s="117"/>
      <c r="K52" s="118"/>
      <c r="L52" s="119"/>
      <c r="M52" s="120"/>
      <c r="N52" s="120"/>
      <c r="O52" s="120"/>
      <c r="P52" s="117"/>
    </row>
    <row r="53" spans="5:17">
      <c r="E53" s="215">
        <v>93186</v>
      </c>
      <c r="F53" s="114" t="s">
        <v>70</v>
      </c>
      <c r="G53" s="129" t="s">
        <v>1</v>
      </c>
      <c r="H53" s="125"/>
      <c r="I53" s="125">
        <v>45</v>
      </c>
      <c r="J53" s="125">
        <f t="shared" ref="J53:J58" si="36">P53*(1+$P$14/100)</f>
        <v>88.72</v>
      </c>
      <c r="K53" s="126">
        <f t="shared" ref="K53:K58" si="37">J53*$Q$14</f>
        <v>26.429687999999999</v>
      </c>
      <c r="L53" s="139">
        <f>I53*(J53+K53)</f>
        <v>5181.73596</v>
      </c>
      <c r="M53" s="98"/>
      <c r="N53" s="98"/>
      <c r="O53" s="98"/>
      <c r="P53" s="125">
        <v>88.72</v>
      </c>
    </row>
    <row r="54" spans="5:17" ht="25.5">
      <c r="E54" s="215">
        <v>103324</v>
      </c>
      <c r="F54" s="114" t="s">
        <v>47</v>
      </c>
      <c r="G54" s="129" t="s">
        <v>38</v>
      </c>
      <c r="H54" s="125"/>
      <c r="I54" s="125">
        <v>1058</v>
      </c>
      <c r="J54" s="125">
        <f t="shared" si="36"/>
        <v>81.709999999999994</v>
      </c>
      <c r="K54" s="126">
        <f t="shared" si="37"/>
        <v>24.341408999999999</v>
      </c>
      <c r="L54" s="139">
        <f>I54*(J54+K54)</f>
        <v>112202.390722</v>
      </c>
      <c r="M54" s="98"/>
      <c r="N54" s="98"/>
      <c r="O54" s="98"/>
      <c r="P54" s="125">
        <v>81.709999999999994</v>
      </c>
    </row>
    <row r="55" spans="5:17">
      <c r="E55" s="216">
        <v>90443</v>
      </c>
      <c r="F55" s="114" t="s">
        <v>48</v>
      </c>
      <c r="G55" s="129" t="s">
        <v>1</v>
      </c>
      <c r="H55" s="125"/>
      <c r="I55" s="125">
        <v>257</v>
      </c>
      <c r="J55" s="125">
        <f t="shared" si="36"/>
        <v>12.27</v>
      </c>
      <c r="K55" s="126">
        <f t="shared" si="37"/>
        <v>3.655233</v>
      </c>
      <c r="L55" s="139">
        <f>I55*(J55+K55)</f>
        <v>4092.7848809999996</v>
      </c>
      <c r="M55" s="98"/>
      <c r="N55" s="98"/>
      <c r="O55" s="98"/>
      <c r="P55" s="125">
        <v>12.27</v>
      </c>
    </row>
    <row r="56" spans="5:17" ht="12.75" customHeight="1">
      <c r="E56" s="216">
        <v>90466</v>
      </c>
      <c r="F56" s="114" t="s">
        <v>49</v>
      </c>
      <c r="G56" s="129" t="s">
        <v>1</v>
      </c>
      <c r="H56" s="125"/>
      <c r="I56" s="125">
        <v>257</v>
      </c>
      <c r="J56" s="125">
        <f t="shared" si="36"/>
        <v>12.74</v>
      </c>
      <c r="K56" s="126">
        <f t="shared" si="37"/>
        <v>3.7952460000000001</v>
      </c>
      <c r="L56" s="139">
        <f>I56*(J56+K56)</f>
        <v>4249.5582220000006</v>
      </c>
      <c r="M56" s="98"/>
      <c r="N56" s="98"/>
      <c r="O56" s="98"/>
      <c r="P56" s="125">
        <v>12.74</v>
      </c>
    </row>
    <row r="57" spans="5:17">
      <c r="E57" s="216">
        <v>97064</v>
      </c>
      <c r="F57" s="114" t="s">
        <v>51</v>
      </c>
      <c r="G57" s="129" t="s">
        <v>38</v>
      </c>
      <c r="H57" s="125"/>
      <c r="I57" s="125">
        <v>81</v>
      </c>
      <c r="J57" s="125">
        <f t="shared" si="36"/>
        <v>15</v>
      </c>
      <c r="K57" s="126">
        <f t="shared" si="37"/>
        <v>4.4684999999999997</v>
      </c>
      <c r="L57" s="139">
        <f>I57*(J57+K57)</f>
        <v>1576.9485</v>
      </c>
      <c r="M57" s="98"/>
      <c r="N57" s="98"/>
      <c r="O57" s="98"/>
      <c r="P57" s="125">
        <v>15</v>
      </c>
    </row>
    <row r="58" spans="5:17">
      <c r="E58" s="144"/>
      <c r="F58" s="26" t="s">
        <v>6</v>
      </c>
      <c r="G58" s="27"/>
      <c r="H58" s="28"/>
      <c r="I58" s="97"/>
      <c r="J58" s="125">
        <f t="shared" si="36"/>
        <v>15.37</v>
      </c>
      <c r="K58" s="126">
        <f t="shared" si="37"/>
        <v>4.5787230000000001</v>
      </c>
      <c r="L58" s="29">
        <f>SUM(L53:L57)</f>
        <v>127303.41828500001</v>
      </c>
      <c r="M58" s="120"/>
      <c r="N58" s="120"/>
      <c r="O58" s="120"/>
      <c r="P58" s="125">
        <v>15.37</v>
      </c>
    </row>
    <row r="59" spans="5:17">
      <c r="E59" s="214" t="s">
        <v>10</v>
      </c>
      <c r="F59" s="18" t="s">
        <v>11</v>
      </c>
      <c r="G59" s="124"/>
      <c r="H59" s="125"/>
      <c r="I59" s="125"/>
      <c r="J59" s="125"/>
      <c r="K59" s="126"/>
      <c r="L59" s="139"/>
      <c r="M59" s="98"/>
      <c r="N59" s="98"/>
      <c r="O59" s="98"/>
      <c r="P59" s="125"/>
    </row>
    <row r="60" spans="5:17">
      <c r="E60" s="144"/>
      <c r="F60" s="131"/>
      <c r="G60" s="124"/>
      <c r="H60" s="125"/>
      <c r="I60" s="125"/>
      <c r="J60" s="125"/>
      <c r="K60" s="126"/>
      <c r="L60" s="139"/>
      <c r="M60" s="98"/>
      <c r="N60" s="98"/>
      <c r="O60" s="98"/>
      <c r="P60" s="125"/>
    </row>
    <row r="61" spans="5:17" ht="25.5">
      <c r="E61" s="216">
        <v>92616</v>
      </c>
      <c r="F61" s="131" t="s">
        <v>72</v>
      </c>
      <c r="G61" s="124" t="s">
        <v>53</v>
      </c>
      <c r="H61" s="125"/>
      <c r="I61" s="125">
        <v>30</v>
      </c>
      <c r="J61" s="125">
        <f t="shared" ref="J61:J62" si="38">P61*(1+$P$14/100)</f>
        <v>2083.5300000000002</v>
      </c>
      <c r="K61" s="126">
        <f t="shared" ref="K61:K65" si="39">J61*$Q$14</f>
        <v>620.6835870000001</v>
      </c>
      <c r="L61" s="139">
        <f t="shared" ref="L61:L62" si="40">I61*(J61+K61)</f>
        <v>81126.407610000009</v>
      </c>
      <c r="M61" s="98"/>
      <c r="N61" s="98"/>
      <c r="O61" s="98"/>
      <c r="P61" s="125">
        <v>2083.5300000000002</v>
      </c>
    </row>
    <row r="62" spans="5:17" ht="25.5">
      <c r="E62" s="216">
        <v>92580</v>
      </c>
      <c r="F62" s="131" t="s">
        <v>73</v>
      </c>
      <c r="G62" s="124" t="s">
        <v>3</v>
      </c>
      <c r="H62" s="125"/>
      <c r="I62" s="125">
        <f>I45</f>
        <v>769.72</v>
      </c>
      <c r="J62" s="125">
        <f t="shared" si="38"/>
        <v>56.27</v>
      </c>
      <c r="K62" s="126">
        <f t="shared" si="39"/>
        <v>16.762833000000001</v>
      </c>
      <c r="L62" s="139">
        <f t="shared" si="40"/>
        <v>56214.832216760013</v>
      </c>
      <c r="M62" s="98"/>
      <c r="N62" s="98"/>
      <c r="O62" s="98"/>
      <c r="P62" s="125">
        <v>56.27</v>
      </c>
    </row>
    <row r="63" spans="5:17">
      <c r="E63" s="216">
        <v>94216</v>
      </c>
      <c r="F63" s="131" t="s">
        <v>74</v>
      </c>
      <c r="G63" s="124" t="s">
        <v>3</v>
      </c>
      <c r="H63" s="125"/>
      <c r="I63" s="125">
        <f>I62</f>
        <v>769.72</v>
      </c>
      <c r="J63" s="125">
        <f t="shared" ref="J63" si="41">P63*(1+$P$14/100)</f>
        <v>189.76</v>
      </c>
      <c r="K63" s="126">
        <f t="shared" si="39"/>
        <v>56.529503999999996</v>
      </c>
      <c r="L63" s="139">
        <f t="shared" ref="L63" si="42">I63*(J63+K63)</f>
        <v>189573.95701888</v>
      </c>
      <c r="M63" s="98"/>
      <c r="N63" s="98"/>
      <c r="O63" s="98"/>
      <c r="P63" s="125">
        <v>189.76</v>
      </c>
    </row>
    <row r="64" spans="5:17" ht="25.5">
      <c r="E64" s="216">
        <v>100327</v>
      </c>
      <c r="F64" s="131" t="s">
        <v>78</v>
      </c>
      <c r="G64" s="124" t="s">
        <v>1</v>
      </c>
      <c r="H64" s="125"/>
      <c r="I64" s="125">
        <v>214</v>
      </c>
      <c r="J64" s="125">
        <f t="shared" ref="J64" si="43">P64*(1+$P$14/100)</f>
        <v>60.91</v>
      </c>
      <c r="K64" s="126">
        <f t="shared" si="39"/>
        <v>18.145088999999999</v>
      </c>
      <c r="L64" s="139">
        <f t="shared" ref="L64" si="44">I64*(J64+K64)</f>
        <v>16917.789045999998</v>
      </c>
      <c r="M64" s="98"/>
      <c r="N64" s="98"/>
      <c r="O64" s="98"/>
      <c r="P64" s="125">
        <v>60.91</v>
      </c>
    </row>
    <row r="65" spans="5:16" ht="15.75" customHeight="1">
      <c r="E65" s="216">
        <v>94229</v>
      </c>
      <c r="F65" s="131" t="s">
        <v>75</v>
      </c>
      <c r="G65" s="124" t="s">
        <v>1</v>
      </c>
      <c r="H65" s="125"/>
      <c r="I65" s="125">
        <v>70</v>
      </c>
      <c r="J65" s="125">
        <f t="shared" ref="J65" si="45">P65*(1+$P$14/100)</f>
        <v>173.69</v>
      </c>
      <c r="K65" s="126">
        <f t="shared" si="39"/>
        <v>51.742250999999996</v>
      </c>
      <c r="L65" s="139">
        <f t="shared" ref="L65" si="46">I65*(J65+K65)</f>
        <v>15780.25757</v>
      </c>
      <c r="M65" s="98"/>
      <c r="N65" s="98"/>
      <c r="O65" s="98"/>
      <c r="P65" s="125">
        <v>173.69</v>
      </c>
    </row>
    <row r="66" spans="5:16" ht="17.25" customHeight="1">
      <c r="E66" s="215">
        <v>96114</v>
      </c>
      <c r="F66" s="114" t="s">
        <v>76</v>
      </c>
      <c r="G66" s="129" t="s">
        <v>3</v>
      </c>
      <c r="H66" s="125"/>
      <c r="I66" s="125">
        <f>I63</f>
        <v>769.72</v>
      </c>
      <c r="J66" s="125">
        <f>P66*(1+$P$14/100)</f>
        <v>77.2</v>
      </c>
      <c r="K66" s="126">
        <f>J66*$Q$14</f>
        <v>22.997880000000002</v>
      </c>
      <c r="L66" s="139">
        <f t="shared" ref="L66" si="47">I66*(J66+K66)</f>
        <v>77124.312193599995</v>
      </c>
      <c r="M66" s="98"/>
      <c r="N66" s="98"/>
      <c r="O66" s="98"/>
      <c r="P66" s="125">
        <v>77.2</v>
      </c>
    </row>
    <row r="67" spans="5:16" ht="17.25" customHeight="1">
      <c r="E67" s="215">
        <v>96123</v>
      </c>
      <c r="F67" s="114" t="s">
        <v>77</v>
      </c>
      <c r="G67" s="129" t="s">
        <v>3</v>
      </c>
      <c r="H67" s="125"/>
      <c r="I67" s="125">
        <v>257</v>
      </c>
      <c r="J67" s="125">
        <f>P67*(1+$P$14/100)</f>
        <v>33.520000000000003</v>
      </c>
      <c r="K67" s="126">
        <f>J67*$Q$14</f>
        <v>9.9856080000000009</v>
      </c>
      <c r="L67" s="139">
        <f t="shared" ref="L67" si="48">I67*(J67+K67)</f>
        <v>11180.941256</v>
      </c>
      <c r="M67" s="98"/>
      <c r="N67" s="98"/>
      <c r="O67" s="98"/>
      <c r="P67" s="125">
        <v>33.520000000000003</v>
      </c>
    </row>
    <row r="68" spans="5:16">
      <c r="E68" s="144"/>
      <c r="F68" s="26" t="s">
        <v>6</v>
      </c>
      <c r="G68" s="27"/>
      <c r="H68" s="28"/>
      <c r="I68" s="97"/>
      <c r="J68" s="125"/>
      <c r="K68" s="126"/>
      <c r="L68" s="29">
        <f>SUM(L61:L67)</f>
        <v>447918.49691124004</v>
      </c>
      <c r="M68" s="98"/>
      <c r="N68" s="98"/>
      <c r="O68" s="98"/>
      <c r="P68" s="28"/>
    </row>
    <row r="69" spans="5:16">
      <c r="E69" s="214" t="s">
        <v>12</v>
      </c>
      <c r="F69" s="18" t="s">
        <v>13</v>
      </c>
      <c r="G69" s="116"/>
      <c r="H69" s="117"/>
      <c r="I69" s="117"/>
      <c r="J69" s="117"/>
      <c r="K69" s="118"/>
      <c r="L69" s="119"/>
      <c r="M69" s="98"/>
      <c r="N69" s="98"/>
      <c r="O69" s="98"/>
      <c r="P69" s="125"/>
    </row>
    <row r="70" spans="5:16">
      <c r="E70" s="144"/>
      <c r="F70" s="122"/>
      <c r="G70" s="116"/>
      <c r="H70" s="117"/>
      <c r="I70" s="117"/>
      <c r="J70" s="117"/>
      <c r="K70" s="118"/>
      <c r="L70" s="119"/>
      <c r="M70" s="120"/>
      <c r="N70" s="120"/>
      <c r="O70" s="120"/>
      <c r="P70" s="117"/>
    </row>
    <row r="71" spans="5:16">
      <c r="E71" s="215">
        <v>98560</v>
      </c>
      <c r="F71" s="150" t="s">
        <v>79</v>
      </c>
      <c r="G71" s="124" t="s">
        <v>3</v>
      </c>
      <c r="H71" s="125"/>
      <c r="I71" s="125">
        <f>I54/3+I85</f>
        <v>995.55666666666662</v>
      </c>
      <c r="J71" s="125">
        <f>P71*(1+$P$14/100)</f>
        <v>48.59</v>
      </c>
      <c r="K71" s="126">
        <f>J71*$Q$14</f>
        <v>14.474961</v>
      </c>
      <c r="L71" s="139">
        <f>I71*(J71+K71)</f>
        <v>62784.742356623334</v>
      </c>
      <c r="M71" s="98"/>
      <c r="N71" s="98"/>
      <c r="O71" s="98"/>
      <c r="P71" s="125">
        <v>48.59</v>
      </c>
    </row>
    <row r="72" spans="5:16">
      <c r="E72" s="144"/>
      <c r="F72" s="26" t="s">
        <v>6</v>
      </c>
      <c r="G72" s="27"/>
      <c r="H72" s="28"/>
      <c r="I72" s="97"/>
      <c r="J72" s="125"/>
      <c r="K72" s="126"/>
      <c r="L72" s="29">
        <f>SUM(L71)</f>
        <v>62784.742356623334</v>
      </c>
      <c r="M72" s="98"/>
      <c r="N72" s="98"/>
      <c r="O72" s="98"/>
      <c r="P72" s="28"/>
    </row>
    <row r="73" spans="5:16">
      <c r="E73" s="214" t="s">
        <v>14</v>
      </c>
      <c r="F73" s="18" t="s">
        <v>52</v>
      </c>
      <c r="G73" s="124"/>
      <c r="H73" s="125"/>
      <c r="I73" s="125"/>
      <c r="J73" s="125"/>
      <c r="K73" s="126"/>
      <c r="L73" s="139"/>
      <c r="M73" s="98"/>
      <c r="N73" s="98"/>
      <c r="O73" s="98"/>
      <c r="P73" s="125"/>
    </row>
    <row r="74" spans="5:16">
      <c r="E74" s="144"/>
      <c r="F74" s="122"/>
      <c r="G74" s="116"/>
      <c r="H74" s="117"/>
      <c r="I74" s="117"/>
      <c r="J74" s="117"/>
      <c r="K74" s="118"/>
      <c r="L74" s="119"/>
      <c r="M74" s="120"/>
      <c r="N74" s="120"/>
      <c r="O74" s="120"/>
      <c r="P74" s="117"/>
    </row>
    <row r="75" spans="5:16" ht="38.25">
      <c r="E75" s="215">
        <v>91313</v>
      </c>
      <c r="F75" s="114" t="s">
        <v>81</v>
      </c>
      <c r="G75" s="124" t="s">
        <v>53</v>
      </c>
      <c r="H75" s="125"/>
      <c r="I75" s="125">
        <v>4</v>
      </c>
      <c r="J75" s="125">
        <f t="shared" ref="J75:J79" si="49">P75*(1+$P$14/100)</f>
        <v>876.43</v>
      </c>
      <c r="K75" s="126">
        <f t="shared" ref="K75:K79" si="50">J75*$Q$14</f>
        <v>261.08849699999996</v>
      </c>
      <c r="L75" s="139">
        <f t="shared" ref="L75:L79" si="51">I75*(J75+K75)</f>
        <v>4550.0739880000001</v>
      </c>
      <c r="M75" s="98"/>
      <c r="N75" s="98"/>
      <c r="O75" s="98"/>
      <c r="P75" s="125">
        <v>876.43</v>
      </c>
    </row>
    <row r="76" spans="5:16" ht="38.25">
      <c r="E76" s="215">
        <v>91314</v>
      </c>
      <c r="F76" s="114" t="s">
        <v>54</v>
      </c>
      <c r="G76" s="124" t="s">
        <v>53</v>
      </c>
      <c r="H76" s="125"/>
      <c r="I76" s="125">
        <v>13</v>
      </c>
      <c r="J76" s="125">
        <f t="shared" si="49"/>
        <v>923.32</v>
      </c>
      <c r="K76" s="126">
        <f t="shared" si="50"/>
        <v>275.057028</v>
      </c>
      <c r="L76" s="139">
        <f t="shared" si="51"/>
        <v>15578.901364000001</v>
      </c>
      <c r="M76" s="98"/>
      <c r="N76" s="98"/>
      <c r="O76" s="98"/>
      <c r="P76" s="125">
        <v>923.32</v>
      </c>
    </row>
    <row r="77" spans="5:16" ht="38.25">
      <c r="E77" s="215">
        <v>91315</v>
      </c>
      <c r="F77" s="114" t="s">
        <v>82</v>
      </c>
      <c r="G77" s="124" t="s">
        <v>53</v>
      </c>
      <c r="H77" s="125"/>
      <c r="I77" s="125">
        <v>1</v>
      </c>
      <c r="J77" s="125">
        <f t="shared" si="49"/>
        <v>1028.21</v>
      </c>
      <c r="K77" s="126">
        <f t="shared" si="50"/>
        <v>306.30375900000001</v>
      </c>
      <c r="L77" s="139">
        <f t="shared" si="51"/>
        <v>1334.5137589999999</v>
      </c>
      <c r="M77" s="98"/>
      <c r="N77" s="98"/>
      <c r="O77" s="98"/>
      <c r="P77" s="125">
        <v>1028.21</v>
      </c>
    </row>
    <row r="78" spans="5:16" ht="25.5">
      <c r="E78" s="215">
        <v>94569</v>
      </c>
      <c r="F78" s="114" t="s">
        <v>80</v>
      </c>
      <c r="G78" s="124" t="s">
        <v>3</v>
      </c>
      <c r="H78" s="125"/>
      <c r="I78" s="125">
        <v>35.200000000000003</v>
      </c>
      <c r="J78" s="125">
        <f t="shared" si="49"/>
        <v>729.3</v>
      </c>
      <c r="K78" s="126">
        <f t="shared" si="50"/>
        <v>217.25846999999999</v>
      </c>
      <c r="L78" s="139">
        <f t="shared" si="51"/>
        <v>33318.858143999998</v>
      </c>
      <c r="M78" s="98"/>
      <c r="N78" s="98"/>
      <c r="O78" s="98"/>
      <c r="P78" s="125">
        <v>729.3</v>
      </c>
    </row>
    <row r="79" spans="5:16" ht="38.25">
      <c r="E79" s="215">
        <v>99837</v>
      </c>
      <c r="F79" s="114" t="s">
        <v>199</v>
      </c>
      <c r="G79" s="124" t="s">
        <v>171</v>
      </c>
      <c r="H79" s="125"/>
      <c r="I79" s="125">
        <v>12.3</v>
      </c>
      <c r="J79" s="125">
        <f t="shared" si="49"/>
        <v>583.76</v>
      </c>
      <c r="K79" s="126">
        <f t="shared" si="50"/>
        <v>173.90210400000001</v>
      </c>
      <c r="L79" s="139">
        <f t="shared" si="51"/>
        <v>9319.2438792000012</v>
      </c>
      <c r="M79" s="98"/>
      <c r="N79" s="98"/>
      <c r="O79" s="98"/>
      <c r="P79" s="125">
        <v>583.76</v>
      </c>
    </row>
    <row r="80" spans="5:16">
      <c r="E80" s="215">
        <v>99820</v>
      </c>
      <c r="F80" s="114" t="s">
        <v>189</v>
      </c>
      <c r="G80" s="124" t="s">
        <v>2</v>
      </c>
      <c r="H80" s="125"/>
      <c r="I80" s="125">
        <v>202.35</v>
      </c>
      <c r="J80" s="125">
        <f t="shared" ref="J80:J81" si="52">P80*(1+$P$14/100)</f>
        <v>1.81</v>
      </c>
      <c r="K80" s="126">
        <f t="shared" ref="K80:K81" si="53">J80*$Q$14</f>
        <v>0.53919899999999998</v>
      </c>
      <c r="L80" s="139">
        <f t="shared" ref="L80:L81" si="54">I80*(J80+K80)</f>
        <v>475.36041764999999</v>
      </c>
      <c r="M80" s="98"/>
      <c r="N80" s="125">
        <v>1336.73</v>
      </c>
      <c r="O80" s="98"/>
      <c r="P80" s="125">
        <v>1.81</v>
      </c>
    </row>
    <row r="81" spans="5:16">
      <c r="E81" s="215">
        <v>102176</v>
      </c>
      <c r="F81" s="114" t="s">
        <v>197</v>
      </c>
      <c r="G81" s="124" t="s">
        <v>3</v>
      </c>
      <c r="H81" s="125"/>
      <c r="I81" s="125">
        <v>202.35</v>
      </c>
      <c r="J81" s="125">
        <f t="shared" si="52"/>
        <v>1209.1600000000001</v>
      </c>
      <c r="K81" s="126">
        <f t="shared" si="53"/>
        <v>360.20876400000003</v>
      </c>
      <c r="L81" s="139">
        <f t="shared" si="54"/>
        <v>317561.76939540001</v>
      </c>
      <c r="M81" s="98"/>
      <c r="N81" s="125">
        <v>1336.73</v>
      </c>
      <c r="O81" s="98"/>
      <c r="P81" s="125">
        <v>1209.1600000000001</v>
      </c>
    </row>
    <row r="82" spans="5:16">
      <c r="E82" s="144"/>
      <c r="F82" s="26" t="s">
        <v>6</v>
      </c>
      <c r="G82" s="27"/>
      <c r="H82" s="28"/>
      <c r="I82" s="97"/>
      <c r="J82" s="125"/>
      <c r="K82" s="126"/>
      <c r="L82" s="29">
        <f>SUM(L75:L81)</f>
        <v>382138.72094725003</v>
      </c>
      <c r="M82" s="98"/>
      <c r="N82" s="98"/>
      <c r="O82" s="98"/>
      <c r="P82" s="28"/>
    </row>
    <row r="83" spans="5:16">
      <c r="E83" s="214" t="s">
        <v>15</v>
      </c>
      <c r="F83" s="18" t="s">
        <v>16</v>
      </c>
      <c r="G83" s="116"/>
      <c r="H83" s="117"/>
      <c r="I83" s="117"/>
      <c r="J83" s="117"/>
      <c r="K83" s="118"/>
      <c r="L83" s="119"/>
      <c r="M83" s="120"/>
      <c r="N83" s="120"/>
      <c r="O83" s="120"/>
      <c r="P83" s="117"/>
    </row>
    <row r="84" spans="5:16">
      <c r="E84" s="145"/>
      <c r="F84" s="18"/>
      <c r="G84" s="116"/>
      <c r="H84" s="117"/>
      <c r="I84" s="117"/>
      <c r="J84" s="117"/>
      <c r="K84" s="118"/>
      <c r="L84" s="119"/>
      <c r="M84" s="120"/>
      <c r="N84" s="120"/>
      <c r="O84" s="120"/>
      <c r="P84" s="117"/>
    </row>
    <row r="85" spans="5:16" ht="25.5">
      <c r="E85" s="215">
        <v>87620</v>
      </c>
      <c r="F85" s="114" t="s">
        <v>168</v>
      </c>
      <c r="G85" s="151" t="s">
        <v>3</v>
      </c>
      <c r="H85" s="125"/>
      <c r="I85" s="125">
        <f>I31</f>
        <v>642.89</v>
      </c>
      <c r="J85" s="125">
        <f>P85*(1+$P$14/100)</f>
        <v>34.58</v>
      </c>
      <c r="K85" s="126">
        <f>J85*$Q$14</f>
        <v>10.301382</v>
      </c>
      <c r="L85" s="139">
        <f>I85*(J85+K85)</f>
        <v>28853.791673980002</v>
      </c>
      <c r="M85" s="98"/>
      <c r="N85" s="98"/>
      <c r="O85" s="98"/>
      <c r="P85" s="125">
        <v>34.58</v>
      </c>
    </row>
    <row r="86" spans="5:16" ht="25.5">
      <c r="E86" s="143">
        <v>87263</v>
      </c>
      <c r="F86" s="128" t="s">
        <v>83</v>
      </c>
      <c r="G86" s="151" t="s">
        <v>3</v>
      </c>
      <c r="H86" s="125"/>
      <c r="I86" s="125">
        <f>I32</f>
        <v>642.89</v>
      </c>
      <c r="J86" s="125">
        <f>P86*(1+$P$14/100)</f>
        <v>170.05</v>
      </c>
      <c r="K86" s="126">
        <f>J86*$Q$14</f>
        <v>50.657895000000003</v>
      </c>
      <c r="L86" s="139">
        <f>I86*(J86+K86)</f>
        <v>141890.89861655</v>
      </c>
      <c r="M86" s="98"/>
      <c r="N86" s="98"/>
      <c r="O86" s="98"/>
      <c r="P86" s="125">
        <v>170.05</v>
      </c>
    </row>
    <row r="87" spans="5:16">
      <c r="E87" s="143">
        <v>98671</v>
      </c>
      <c r="F87" s="128" t="s">
        <v>172</v>
      </c>
      <c r="G87" s="151" t="s">
        <v>3</v>
      </c>
      <c r="H87" s="125"/>
      <c r="I87" s="125">
        <f>I48</f>
        <v>18</v>
      </c>
      <c r="J87" s="125">
        <f>P87*(1+$P$14/100)</f>
        <v>446.68</v>
      </c>
      <c r="K87" s="126">
        <f>J87*$Q$14</f>
        <v>133.06597199999999</v>
      </c>
      <c r="L87" s="139">
        <f>I87*(J87+K87)</f>
        <v>10435.427495999998</v>
      </c>
      <c r="M87" s="98"/>
      <c r="N87" s="98"/>
      <c r="O87" s="98"/>
      <c r="P87" s="125">
        <v>446.68</v>
      </c>
    </row>
    <row r="88" spans="5:16">
      <c r="E88" s="143">
        <v>99811</v>
      </c>
      <c r="F88" s="128" t="s">
        <v>187</v>
      </c>
      <c r="G88" s="151" t="s">
        <v>3</v>
      </c>
      <c r="H88" s="125"/>
      <c r="I88" s="125">
        <v>642.89</v>
      </c>
      <c r="J88" s="125">
        <f>P88*(1+$P$14/100)</f>
        <v>3.18</v>
      </c>
      <c r="K88" s="126">
        <f>J88*$Q$14</f>
        <v>0.947322</v>
      </c>
      <c r="L88" s="139">
        <f>I88*(J88+K88)</f>
        <v>2653.4140405800003</v>
      </c>
      <c r="M88" s="98"/>
      <c r="N88" s="98"/>
      <c r="O88" s="98"/>
      <c r="P88" s="125">
        <v>3.18</v>
      </c>
    </row>
    <row r="89" spans="5:16">
      <c r="E89" s="144"/>
      <c r="F89" s="26" t="s">
        <v>6</v>
      </c>
      <c r="G89" s="27"/>
      <c r="H89" s="28"/>
      <c r="I89" s="97"/>
      <c r="J89" s="125"/>
      <c r="K89" s="126"/>
      <c r="L89" s="29">
        <f>SUM(L85:L88)</f>
        <v>183833.53182711001</v>
      </c>
      <c r="M89" s="120"/>
      <c r="N89" s="120"/>
      <c r="O89" s="120"/>
      <c r="P89" s="121"/>
    </row>
    <row r="90" spans="5:16">
      <c r="E90" s="214" t="s">
        <v>57</v>
      </c>
      <c r="F90" s="18" t="s">
        <v>29</v>
      </c>
      <c r="G90" s="124"/>
      <c r="H90" s="125"/>
      <c r="I90" s="125"/>
      <c r="J90" s="125"/>
      <c r="K90" s="126"/>
      <c r="L90" s="139"/>
      <c r="M90" s="120"/>
      <c r="N90" s="120"/>
      <c r="O90" s="120"/>
      <c r="P90" s="117"/>
    </row>
    <row r="91" spans="5:16">
      <c r="E91" s="144"/>
      <c r="F91" s="122"/>
      <c r="G91" s="116"/>
      <c r="H91" s="117"/>
      <c r="I91" s="117"/>
      <c r="J91" s="117"/>
      <c r="K91" s="118"/>
      <c r="L91" s="119"/>
      <c r="M91" s="120"/>
      <c r="N91" s="120"/>
      <c r="O91" s="120"/>
      <c r="P91" s="117"/>
    </row>
    <row r="92" spans="5:16" ht="25.5">
      <c r="E92" s="217">
        <v>87879</v>
      </c>
      <c r="F92" s="128" t="s">
        <v>50</v>
      </c>
      <c r="G92" s="129" t="s">
        <v>3</v>
      </c>
      <c r="H92" s="125"/>
      <c r="I92" s="125">
        <f>I54*2</f>
        <v>2116</v>
      </c>
      <c r="J92" s="125">
        <f>P92*(1+$P$14/100)</f>
        <v>4.2699999999999996</v>
      </c>
      <c r="K92" s="126">
        <f>J92*$Q$14</f>
        <v>1.272033</v>
      </c>
      <c r="L92" s="139">
        <f>I92*(J92+K92)</f>
        <v>11726.941827999999</v>
      </c>
      <c r="M92" s="98"/>
      <c r="N92" s="98"/>
      <c r="O92" s="98"/>
      <c r="P92" s="125">
        <v>4.2699999999999996</v>
      </c>
    </row>
    <row r="93" spans="5:16" ht="38.25">
      <c r="E93" s="143">
        <v>87529</v>
      </c>
      <c r="F93" s="128" t="s">
        <v>200</v>
      </c>
      <c r="G93" s="124" t="s">
        <v>3</v>
      </c>
      <c r="H93" s="125"/>
      <c r="I93" s="125">
        <f>I92</f>
        <v>2116</v>
      </c>
      <c r="J93" s="125">
        <f>P93*(1+$P$14/100)</f>
        <v>36.44</v>
      </c>
      <c r="K93" s="126">
        <f>J93*$Q$14</f>
        <v>10.855475999999999</v>
      </c>
      <c r="L93" s="139">
        <f>I93*(J93+K93)</f>
        <v>100077.22721599998</v>
      </c>
      <c r="M93" s="98"/>
      <c r="N93" s="98"/>
      <c r="O93" s="98"/>
      <c r="P93" s="125">
        <v>36.44</v>
      </c>
    </row>
    <row r="94" spans="5:16" ht="25.5">
      <c r="E94" s="143">
        <v>87269</v>
      </c>
      <c r="F94" s="128" t="s">
        <v>202</v>
      </c>
      <c r="G94" s="124" t="s">
        <v>3</v>
      </c>
      <c r="H94" s="125"/>
      <c r="I94" s="125">
        <v>198.58</v>
      </c>
      <c r="J94" s="125">
        <f>P94*(1+$P$14/100)</f>
        <v>64.67</v>
      </c>
      <c r="K94" s="126">
        <f>J94*$Q$14</f>
        <v>19.265193</v>
      </c>
      <c r="L94" s="139">
        <f>I94*(J94+K94)</f>
        <v>16667.850625940002</v>
      </c>
      <c r="M94" s="98"/>
      <c r="N94" s="98"/>
      <c r="O94" s="98"/>
      <c r="P94" s="125">
        <v>64.67</v>
      </c>
    </row>
    <row r="95" spans="5:16">
      <c r="E95" s="144"/>
      <c r="F95" s="26" t="s">
        <v>6</v>
      </c>
      <c r="G95" s="27"/>
      <c r="H95" s="28"/>
      <c r="I95" s="97"/>
      <c r="J95" s="125"/>
      <c r="K95" s="126"/>
      <c r="L95" s="29">
        <f>SUM(L92:L94)</f>
        <v>128472.01966993998</v>
      </c>
      <c r="M95" s="120"/>
      <c r="N95" s="120"/>
      <c r="O95" s="120"/>
      <c r="P95" s="121"/>
    </row>
    <row r="96" spans="5:16">
      <c r="E96" s="214" t="s">
        <v>30</v>
      </c>
      <c r="F96" s="18" t="s">
        <v>61</v>
      </c>
      <c r="G96" s="124"/>
      <c r="H96" s="125"/>
      <c r="I96" s="125"/>
      <c r="J96" s="125"/>
      <c r="K96" s="126"/>
      <c r="L96" s="139"/>
      <c r="M96" s="120"/>
      <c r="N96" s="120"/>
      <c r="O96" s="120"/>
      <c r="P96" s="117"/>
    </row>
    <row r="97" spans="5:16">
      <c r="E97" s="144"/>
      <c r="F97" s="122"/>
      <c r="G97" s="116"/>
      <c r="H97" s="117"/>
      <c r="I97" s="117"/>
      <c r="J97" s="117"/>
      <c r="K97" s="118"/>
      <c r="L97" s="119"/>
      <c r="M97" s="120"/>
      <c r="N97" s="120"/>
      <c r="O97" s="120"/>
      <c r="P97" s="117"/>
    </row>
    <row r="98" spans="5:16">
      <c r="E98" s="216">
        <v>88497</v>
      </c>
      <c r="F98" s="131" t="s">
        <v>204</v>
      </c>
      <c r="G98" s="124" t="s">
        <v>3</v>
      </c>
      <c r="H98" s="125"/>
      <c r="I98" s="125">
        <f>I93/2-I94</f>
        <v>859.42</v>
      </c>
      <c r="J98" s="125">
        <f>P98*(1+$P$14/100)</f>
        <v>17.399999999999999</v>
      </c>
      <c r="K98" s="126">
        <f>J98*$Q$14</f>
        <v>5.1834599999999993</v>
      </c>
      <c r="L98" s="139">
        <f>I98*(J98+K98)</f>
        <v>19408.677193199997</v>
      </c>
      <c r="M98" s="98"/>
      <c r="N98" s="98"/>
      <c r="O98" s="98"/>
      <c r="P98" s="125">
        <v>17.399999999999999</v>
      </c>
    </row>
    <row r="99" spans="5:16">
      <c r="E99" s="217">
        <v>88489</v>
      </c>
      <c r="F99" s="128" t="s">
        <v>203</v>
      </c>
      <c r="G99" s="124" t="s">
        <v>3</v>
      </c>
      <c r="H99" s="125"/>
      <c r="I99" s="125">
        <f>I93/2</f>
        <v>1058</v>
      </c>
      <c r="J99" s="125">
        <f>P99*(1+$P$14/100)</f>
        <v>11.27</v>
      </c>
      <c r="K99" s="126">
        <f>J99*$Q$14</f>
        <v>3.3573329999999997</v>
      </c>
      <c r="L99" s="139">
        <f>I99*(J99+K99)</f>
        <v>15475.718314</v>
      </c>
      <c r="M99" s="98"/>
      <c r="N99" s="98"/>
      <c r="O99" s="98"/>
      <c r="P99" s="125">
        <v>11.27</v>
      </c>
    </row>
    <row r="100" spans="5:16">
      <c r="E100" s="217">
        <v>102204</v>
      </c>
      <c r="F100" s="128" t="s">
        <v>84</v>
      </c>
      <c r="G100" s="124" t="s">
        <v>3</v>
      </c>
      <c r="H100" s="125"/>
      <c r="I100" s="125">
        <v>604</v>
      </c>
      <c r="J100" s="125">
        <f t="shared" ref="J100" si="55">P100*(1+$P$14/100)</f>
        <v>9.64</v>
      </c>
      <c r="K100" s="126">
        <f t="shared" ref="K100" si="56">J100*$Q$14</f>
        <v>2.871756</v>
      </c>
      <c r="L100" s="139">
        <f t="shared" ref="L100" si="57">I100*(J100+K100)</f>
        <v>7557.1006239999997</v>
      </c>
      <c r="M100" s="98"/>
      <c r="N100" s="98"/>
      <c r="O100" s="98"/>
      <c r="P100" s="125">
        <v>9.64</v>
      </c>
    </row>
    <row r="101" spans="5:16">
      <c r="E101" s="217">
        <v>95305</v>
      </c>
      <c r="F101" s="128" t="s">
        <v>85</v>
      </c>
      <c r="G101" s="124" t="s">
        <v>3</v>
      </c>
      <c r="H101" s="125"/>
      <c r="I101" s="125">
        <v>225</v>
      </c>
      <c r="J101" s="125">
        <f t="shared" ref="J101" si="58">P101*(1+$P$14/100)</f>
        <v>11.95</v>
      </c>
      <c r="K101" s="126">
        <f t="shared" ref="K101" si="59">J101*$Q$14</f>
        <v>3.5599049999999997</v>
      </c>
      <c r="L101" s="139">
        <f t="shared" ref="L101" si="60">I101*(J101+K101)</f>
        <v>3489.7286249999997</v>
      </c>
      <c r="M101" s="98"/>
      <c r="N101" s="98"/>
      <c r="O101" s="98"/>
      <c r="P101" s="125">
        <v>11.95</v>
      </c>
    </row>
    <row r="102" spans="5:16">
      <c r="E102" s="144"/>
      <c r="F102" s="26" t="s">
        <v>6</v>
      </c>
      <c r="G102" s="27"/>
      <c r="H102" s="28"/>
      <c r="I102" s="97"/>
      <c r="J102" s="125"/>
      <c r="K102" s="126"/>
      <c r="L102" s="29">
        <f>SUM(L98:L101)</f>
        <v>45931.224756199998</v>
      </c>
      <c r="M102" s="98"/>
      <c r="N102" s="98"/>
      <c r="O102" s="98"/>
      <c r="P102" s="28"/>
    </row>
    <row r="103" spans="5:16">
      <c r="E103" s="214" t="s">
        <v>4</v>
      </c>
      <c r="F103" s="18" t="s">
        <v>55</v>
      </c>
      <c r="G103" s="124"/>
      <c r="H103" s="125"/>
      <c r="I103" s="125"/>
      <c r="J103" s="125"/>
      <c r="K103" s="126"/>
      <c r="L103" s="139"/>
      <c r="M103" s="120"/>
      <c r="N103" s="120"/>
      <c r="O103" s="120"/>
      <c r="P103" s="117"/>
    </row>
    <row r="104" spans="5:16">
      <c r="E104" s="144"/>
      <c r="F104" s="131"/>
      <c r="G104" s="124"/>
      <c r="H104" s="125"/>
      <c r="I104" s="125"/>
      <c r="J104" s="125"/>
      <c r="K104" s="126"/>
      <c r="L104" s="139"/>
      <c r="M104" s="120"/>
      <c r="N104" s="120"/>
      <c r="O104" s="120"/>
      <c r="P104" s="117"/>
    </row>
    <row r="105" spans="5:16" ht="25.5">
      <c r="E105" s="216">
        <v>89509</v>
      </c>
      <c r="F105" s="131" t="s">
        <v>60</v>
      </c>
      <c r="G105" s="124" t="s">
        <v>1</v>
      </c>
      <c r="H105" s="125"/>
      <c r="I105" s="125">
        <v>48</v>
      </c>
      <c r="J105" s="125">
        <f t="shared" ref="J105:J106" si="61">P105*(1+$P$14/100)</f>
        <v>22.47</v>
      </c>
      <c r="K105" s="126">
        <f t="shared" ref="K105:K106" si="62">J105*$Q$14</f>
        <v>6.6938129999999996</v>
      </c>
      <c r="L105" s="139">
        <f t="shared" ref="L105:L106" si="63">I105*(J105+K105)</f>
        <v>1399.8630239999998</v>
      </c>
      <c r="M105" s="98"/>
      <c r="N105" s="98"/>
      <c r="O105" s="98"/>
      <c r="P105" s="125">
        <v>22.47</v>
      </c>
    </row>
    <row r="106" spans="5:16" ht="25.5">
      <c r="E106" s="143">
        <v>94649</v>
      </c>
      <c r="F106" s="128" t="s">
        <v>90</v>
      </c>
      <c r="G106" s="130" t="s">
        <v>1</v>
      </c>
      <c r="H106" s="125"/>
      <c r="I106" s="125">
        <v>20</v>
      </c>
      <c r="J106" s="125">
        <f t="shared" si="61"/>
        <v>17.63</v>
      </c>
      <c r="K106" s="126">
        <f t="shared" si="62"/>
        <v>5.2519769999999992</v>
      </c>
      <c r="L106" s="139">
        <f t="shared" si="63"/>
        <v>457.63954000000001</v>
      </c>
      <c r="M106" s="98"/>
      <c r="N106" s="98"/>
      <c r="O106" s="98"/>
      <c r="P106" s="125">
        <v>17.63</v>
      </c>
    </row>
    <row r="107" spans="5:16" ht="25.5">
      <c r="E107" s="143">
        <v>94648</v>
      </c>
      <c r="F107" s="128" t="s">
        <v>89</v>
      </c>
      <c r="G107" s="130" t="s">
        <v>1</v>
      </c>
      <c r="H107" s="125"/>
      <c r="I107" s="125">
        <v>50</v>
      </c>
      <c r="J107" s="125">
        <f t="shared" ref="J107" si="64">P107*(1+$P$14/100)</f>
        <v>11.31</v>
      </c>
      <c r="K107" s="126">
        <f t="shared" ref="K107" si="65">J107*$Q$14</f>
        <v>3.3692489999999999</v>
      </c>
      <c r="L107" s="139">
        <f t="shared" ref="L107" si="66">I107*(J107+K107)</f>
        <v>733.96244999999999</v>
      </c>
      <c r="M107" s="98"/>
      <c r="N107" s="98"/>
      <c r="O107" s="98"/>
      <c r="P107" s="125">
        <v>11.31</v>
      </c>
    </row>
    <row r="108" spans="5:16">
      <c r="E108" s="143">
        <v>94796</v>
      </c>
      <c r="F108" s="128" t="s">
        <v>91</v>
      </c>
      <c r="G108" s="130" t="s">
        <v>53</v>
      </c>
      <c r="H108" s="125"/>
      <c r="I108" s="125">
        <v>1</v>
      </c>
      <c r="J108" s="125">
        <f t="shared" ref="J108" si="67">P108*(1+$P$14/100)</f>
        <v>46.03</v>
      </c>
      <c r="K108" s="126">
        <f t="shared" ref="K108" si="68">J108*$Q$14</f>
        <v>13.712337</v>
      </c>
      <c r="L108" s="139">
        <f t="shared" ref="L108" si="69">I108*(J108+K108)</f>
        <v>59.742336999999999</v>
      </c>
      <c r="M108" s="98"/>
      <c r="N108" s="98"/>
      <c r="O108" s="98"/>
      <c r="P108" s="125">
        <v>46.03</v>
      </c>
    </row>
    <row r="109" spans="5:16" ht="25.5">
      <c r="E109" s="143">
        <v>89549</v>
      </c>
      <c r="F109" s="128" t="s">
        <v>88</v>
      </c>
      <c r="G109" s="130" t="s">
        <v>0</v>
      </c>
      <c r="H109" s="125"/>
      <c r="I109" s="125">
        <v>6</v>
      </c>
      <c r="J109" s="125">
        <f t="shared" ref="J109:J144" si="70">P109*(1+$P$14/100)</f>
        <v>19.46</v>
      </c>
      <c r="K109" s="126">
        <f t="shared" ref="K109:K144" si="71">J109*$Q$14</f>
        <v>5.7971339999999998</v>
      </c>
      <c r="L109" s="139">
        <f t="shared" ref="L109:L144" si="72">I109*(J109+K109)</f>
        <v>151.54280399999999</v>
      </c>
      <c r="M109" s="98"/>
      <c r="N109" s="98"/>
      <c r="O109" s="98"/>
      <c r="P109" s="125">
        <v>19.46</v>
      </c>
    </row>
    <row r="110" spans="5:16" ht="25.5">
      <c r="E110" s="143">
        <v>89708</v>
      </c>
      <c r="F110" s="128" t="s">
        <v>87</v>
      </c>
      <c r="G110" s="130" t="s">
        <v>0</v>
      </c>
      <c r="H110" s="125"/>
      <c r="I110" s="125">
        <v>3</v>
      </c>
      <c r="J110" s="125">
        <f t="shared" si="70"/>
        <v>96.41</v>
      </c>
      <c r="K110" s="126">
        <f t="shared" si="71"/>
        <v>28.720538999999999</v>
      </c>
      <c r="L110" s="139">
        <f t="shared" si="72"/>
        <v>375.391617</v>
      </c>
      <c r="M110" s="98"/>
      <c r="N110" s="98"/>
      <c r="O110" s="98"/>
      <c r="P110" s="125">
        <v>96.41</v>
      </c>
    </row>
    <row r="111" spans="5:16" ht="25.5">
      <c r="E111" s="143">
        <v>94704</v>
      </c>
      <c r="F111" s="128" t="s">
        <v>92</v>
      </c>
      <c r="G111" s="130" t="s">
        <v>0</v>
      </c>
      <c r="H111" s="125"/>
      <c r="I111" s="125">
        <v>1</v>
      </c>
      <c r="J111" s="125">
        <f t="shared" ref="J111" si="73">P111*(1+$P$14/100)</f>
        <v>31.44</v>
      </c>
      <c r="K111" s="126">
        <f t="shared" ref="K111" si="74">J111*$Q$14</f>
        <v>9.3659759999999999</v>
      </c>
      <c r="L111" s="139">
        <f t="shared" ref="L111" si="75">I111*(J111+K111)</f>
        <v>40.805976000000001</v>
      </c>
      <c r="M111" s="98"/>
      <c r="N111" s="98"/>
      <c r="O111" s="98"/>
      <c r="P111" s="125">
        <v>31.44</v>
      </c>
    </row>
    <row r="112" spans="5:16" ht="25.5">
      <c r="E112" s="143">
        <v>94706</v>
      </c>
      <c r="F112" s="128" t="s">
        <v>92</v>
      </c>
      <c r="G112" s="130" t="s">
        <v>0</v>
      </c>
      <c r="H112" s="125"/>
      <c r="I112" s="125">
        <v>1</v>
      </c>
      <c r="J112" s="125">
        <f t="shared" ref="J112" si="76">P112*(1+$P$14/100)</f>
        <v>50.34</v>
      </c>
      <c r="K112" s="126">
        <f t="shared" ref="K112" si="77">J112*$Q$14</f>
        <v>14.996286000000001</v>
      </c>
      <c r="L112" s="139">
        <f t="shared" ref="L112" si="78">I112*(J112+K112)</f>
        <v>65.336286000000001</v>
      </c>
      <c r="M112" s="98"/>
      <c r="N112" s="98"/>
      <c r="O112" s="98"/>
      <c r="P112" s="125">
        <v>50.34</v>
      </c>
    </row>
    <row r="113" spans="5:16" ht="25.5">
      <c r="E113" s="143">
        <v>89362</v>
      </c>
      <c r="F113" s="128" t="s">
        <v>93</v>
      </c>
      <c r="G113" s="130" t="s">
        <v>0</v>
      </c>
      <c r="H113" s="125"/>
      <c r="I113" s="125">
        <v>32</v>
      </c>
      <c r="J113" s="125">
        <f t="shared" si="70"/>
        <v>8.93</v>
      </c>
      <c r="K113" s="126">
        <f t="shared" si="71"/>
        <v>2.660247</v>
      </c>
      <c r="L113" s="139">
        <f t="shared" si="72"/>
        <v>370.88790399999999</v>
      </c>
      <c r="M113" s="98"/>
      <c r="N113" s="98"/>
      <c r="O113" s="98"/>
      <c r="P113" s="125">
        <v>8.93</v>
      </c>
    </row>
    <row r="114" spans="5:16">
      <c r="E114" s="143">
        <v>94490</v>
      </c>
      <c r="F114" s="128" t="s">
        <v>108</v>
      </c>
      <c r="G114" s="130" t="s">
        <v>0</v>
      </c>
      <c r="H114" s="125"/>
      <c r="I114" s="125">
        <v>1</v>
      </c>
      <c r="J114" s="125">
        <f t="shared" ref="J114" si="79">P114*(1+$P$14/100)</f>
        <v>41.59</v>
      </c>
      <c r="K114" s="126">
        <f t="shared" ref="K114" si="80">J114*$Q$14</f>
        <v>12.389661</v>
      </c>
      <c r="L114" s="139">
        <f t="shared" ref="L114" si="81">I114*(J114+K114)</f>
        <v>53.979661000000007</v>
      </c>
      <c r="M114" s="98"/>
      <c r="N114" s="98"/>
      <c r="O114" s="98"/>
      <c r="P114" s="125">
        <v>41.59</v>
      </c>
    </row>
    <row r="115" spans="5:16">
      <c r="E115" s="143">
        <v>94492</v>
      </c>
      <c r="F115" s="128" t="s">
        <v>109</v>
      </c>
      <c r="G115" s="130" t="s">
        <v>0</v>
      </c>
      <c r="H115" s="125"/>
      <c r="I115" s="125">
        <v>3</v>
      </c>
      <c r="J115" s="125">
        <f t="shared" ref="J115" si="82">P115*(1+$P$14/100)</f>
        <v>58.43</v>
      </c>
      <c r="K115" s="126">
        <f t="shared" ref="K115" si="83">J115*$Q$14</f>
        <v>17.406296999999999</v>
      </c>
      <c r="L115" s="139">
        <f t="shared" ref="L115" si="84">I115*(J115+K115)</f>
        <v>227.50889100000001</v>
      </c>
      <c r="M115" s="98"/>
      <c r="N115" s="98"/>
      <c r="O115" s="98"/>
      <c r="P115" s="125">
        <v>58.43</v>
      </c>
    </row>
    <row r="116" spans="5:16" ht="25.5">
      <c r="E116" s="143">
        <v>94794</v>
      </c>
      <c r="F116" s="128" t="s">
        <v>94</v>
      </c>
      <c r="G116" s="130" t="s">
        <v>0</v>
      </c>
      <c r="H116" s="125"/>
      <c r="I116" s="125">
        <v>2</v>
      </c>
      <c r="J116" s="125">
        <f t="shared" ref="J116:J117" si="85">P116*(1+$P$14/100)</f>
        <v>129.38999999999999</v>
      </c>
      <c r="K116" s="126">
        <f t="shared" ref="K116:K117" si="86">J116*$Q$14</f>
        <v>38.545280999999996</v>
      </c>
      <c r="L116" s="139">
        <f t="shared" ref="L116:L117" si="87">I116*(J116+K116)</f>
        <v>335.87056199999995</v>
      </c>
      <c r="M116" s="98"/>
      <c r="N116" s="98"/>
      <c r="O116" s="98"/>
      <c r="P116" s="125">
        <v>129.38999999999999</v>
      </c>
    </row>
    <row r="117" spans="5:16">
      <c r="E117" s="143">
        <v>94499</v>
      </c>
      <c r="F117" s="128" t="s">
        <v>95</v>
      </c>
      <c r="G117" s="130" t="s">
        <v>0</v>
      </c>
      <c r="H117" s="125"/>
      <c r="I117" s="125">
        <v>3</v>
      </c>
      <c r="J117" s="125">
        <f t="shared" si="85"/>
        <v>223.92</v>
      </c>
      <c r="K117" s="126">
        <f t="shared" si="86"/>
        <v>66.705767999999992</v>
      </c>
      <c r="L117" s="139">
        <f t="shared" si="87"/>
        <v>871.87730399999998</v>
      </c>
      <c r="M117" s="98"/>
      <c r="N117" s="98"/>
      <c r="O117" s="98"/>
      <c r="P117" s="125">
        <v>223.92</v>
      </c>
    </row>
    <row r="118" spans="5:16" ht="25.5">
      <c r="E118" s="143">
        <v>99635</v>
      </c>
      <c r="F118" s="128" t="s">
        <v>96</v>
      </c>
      <c r="G118" s="130" t="s">
        <v>0</v>
      </c>
      <c r="H118" s="125"/>
      <c r="I118" s="125">
        <v>5</v>
      </c>
      <c r="J118" s="125">
        <f t="shared" ref="J118" si="88">P118*(1+$P$14/100)</f>
        <v>221.06</v>
      </c>
      <c r="K118" s="126">
        <f t="shared" ref="K118" si="89">J118*$Q$14</f>
        <v>65.853774000000001</v>
      </c>
      <c r="L118" s="139">
        <f t="shared" ref="L118" si="90">I118*(J118+K118)</f>
        <v>1434.5688700000001</v>
      </c>
      <c r="M118" s="98"/>
      <c r="N118" s="98"/>
      <c r="O118" s="98"/>
      <c r="P118" s="125">
        <v>221.06</v>
      </c>
    </row>
    <row r="119" spans="5:16" ht="25.5">
      <c r="E119" s="143">
        <v>89436</v>
      </c>
      <c r="F119" s="128" t="s">
        <v>97</v>
      </c>
      <c r="G119" s="130" t="s">
        <v>0</v>
      </c>
      <c r="H119" s="125"/>
      <c r="I119" s="125">
        <v>6</v>
      </c>
      <c r="J119" s="125">
        <f t="shared" ref="J119" si="91">P119*(1+$P$14/100)</f>
        <v>8.14</v>
      </c>
      <c r="K119" s="126">
        <f t="shared" ref="K119" si="92">J119*$Q$14</f>
        <v>2.424906</v>
      </c>
      <c r="L119" s="139">
        <f t="shared" ref="L119" si="93">I119*(J119+K119)</f>
        <v>63.389436000000003</v>
      </c>
      <c r="M119" s="98"/>
      <c r="N119" s="98"/>
      <c r="O119" s="98"/>
      <c r="P119" s="125">
        <v>8.14</v>
      </c>
    </row>
    <row r="120" spans="5:16" ht="25.5">
      <c r="E120" s="143">
        <v>89596</v>
      </c>
      <c r="F120" s="128" t="s">
        <v>98</v>
      </c>
      <c r="G120" s="130" t="s">
        <v>0</v>
      </c>
      <c r="H120" s="125"/>
      <c r="I120" s="125">
        <v>18</v>
      </c>
      <c r="J120" s="125">
        <f t="shared" ref="J120" si="94">P120*(1+$P$14/100)</f>
        <v>11.3</v>
      </c>
      <c r="K120" s="126">
        <f t="shared" ref="K120" si="95">J120*$Q$14</f>
        <v>3.3662700000000001</v>
      </c>
      <c r="L120" s="139">
        <f t="shared" ref="L120" si="96">I120*(J120+K120)</f>
        <v>263.99286000000001</v>
      </c>
      <c r="M120" s="98"/>
      <c r="N120" s="98"/>
      <c r="O120" s="98"/>
      <c r="P120" s="125">
        <v>11.3</v>
      </c>
    </row>
    <row r="121" spans="5:16">
      <c r="E121" s="143">
        <v>89620</v>
      </c>
      <c r="F121" s="128" t="s">
        <v>99</v>
      </c>
      <c r="G121" s="130" t="s">
        <v>0</v>
      </c>
      <c r="H121" s="125"/>
      <c r="I121" s="125">
        <v>5</v>
      </c>
      <c r="J121" s="125">
        <f t="shared" ref="J121" si="97">P121*(1+$P$14/100)</f>
        <v>12.37</v>
      </c>
      <c r="K121" s="126">
        <f t="shared" ref="K121" si="98">J121*$Q$14</f>
        <v>3.6850229999999997</v>
      </c>
      <c r="L121" s="139">
        <f t="shared" ref="L121" si="99">I121*(J121+K121)</f>
        <v>80.275115</v>
      </c>
      <c r="M121" s="98"/>
      <c r="N121" s="98"/>
      <c r="O121" s="98"/>
      <c r="P121" s="125">
        <v>12.37</v>
      </c>
    </row>
    <row r="122" spans="5:16" ht="25.5">
      <c r="E122" s="143">
        <v>89433</v>
      </c>
      <c r="F122" s="128" t="s">
        <v>100</v>
      </c>
      <c r="G122" s="130" t="s">
        <v>0</v>
      </c>
      <c r="H122" s="125"/>
      <c r="I122" s="125">
        <v>2</v>
      </c>
      <c r="J122" s="125">
        <f t="shared" ref="J122" si="100">P122*(1+$P$14/100)</f>
        <v>13.84</v>
      </c>
      <c r="K122" s="126">
        <f t="shared" ref="K122" si="101">J122*$Q$14</f>
        <v>4.1229360000000002</v>
      </c>
      <c r="L122" s="139">
        <f t="shared" ref="L122" si="102">I122*(J122+K122)</f>
        <v>35.925871999999998</v>
      </c>
      <c r="M122" s="98"/>
      <c r="N122" s="98"/>
      <c r="O122" s="98"/>
      <c r="P122" s="125">
        <v>13.84</v>
      </c>
    </row>
    <row r="123" spans="5:16" ht="25.5">
      <c r="E123" s="143">
        <v>89415</v>
      </c>
      <c r="F123" s="128" t="s">
        <v>159</v>
      </c>
      <c r="G123" s="130" t="s">
        <v>53</v>
      </c>
      <c r="H123" s="125"/>
      <c r="I123" s="125">
        <v>12</v>
      </c>
      <c r="J123" s="125">
        <f t="shared" ref="J123" si="103">P123*(1+$P$14/100)</f>
        <v>17.010000000000002</v>
      </c>
      <c r="K123" s="126">
        <f t="shared" ref="K123" si="104">J123*$Q$14</f>
        <v>5.0672790000000001</v>
      </c>
      <c r="L123" s="139">
        <f t="shared" ref="L123" si="105">I123*(J123+K123)</f>
        <v>264.92734799999999</v>
      </c>
      <c r="M123" s="98"/>
      <c r="N123" s="98"/>
      <c r="O123" s="98"/>
      <c r="P123" s="125">
        <v>17.010000000000002</v>
      </c>
    </row>
    <row r="124" spans="5:16" ht="25.5">
      <c r="E124" s="143">
        <v>86910</v>
      </c>
      <c r="F124" s="128" t="s">
        <v>101</v>
      </c>
      <c r="G124" s="130" t="s">
        <v>0</v>
      </c>
      <c r="H124" s="125"/>
      <c r="I124" s="125">
        <v>2</v>
      </c>
      <c r="J124" s="125">
        <f t="shared" si="70"/>
        <v>146.47</v>
      </c>
      <c r="K124" s="126">
        <f t="shared" si="71"/>
        <v>43.633412999999997</v>
      </c>
      <c r="L124" s="139">
        <f t="shared" si="72"/>
        <v>380.20682599999998</v>
      </c>
      <c r="M124" s="98"/>
      <c r="N124" s="98"/>
      <c r="O124" s="98"/>
      <c r="P124" s="125">
        <v>146.47</v>
      </c>
    </row>
    <row r="125" spans="5:16">
      <c r="E125" s="143">
        <v>86915</v>
      </c>
      <c r="F125" s="128" t="s">
        <v>102</v>
      </c>
      <c r="G125" s="130" t="s">
        <v>0</v>
      </c>
      <c r="H125" s="125"/>
      <c r="I125" s="125">
        <v>7</v>
      </c>
      <c r="J125" s="125">
        <f t="shared" si="70"/>
        <v>164.23</v>
      </c>
      <c r="K125" s="126">
        <f t="shared" si="71"/>
        <v>48.924116999999995</v>
      </c>
      <c r="L125" s="139">
        <f t="shared" si="72"/>
        <v>1492.0788189999998</v>
      </c>
      <c r="M125" s="98"/>
      <c r="N125" s="98"/>
      <c r="O125" s="98"/>
      <c r="P125" s="125">
        <v>164.23</v>
      </c>
    </row>
    <row r="126" spans="5:16" ht="25.5">
      <c r="E126" s="143">
        <v>86936</v>
      </c>
      <c r="F126" s="128" t="s">
        <v>103</v>
      </c>
      <c r="G126" s="130" t="s">
        <v>0</v>
      </c>
      <c r="H126" s="125"/>
      <c r="I126" s="125">
        <v>2</v>
      </c>
      <c r="J126" s="125">
        <f t="shared" si="70"/>
        <v>489.39</v>
      </c>
      <c r="K126" s="126">
        <f t="shared" si="71"/>
        <v>145.78928099999999</v>
      </c>
      <c r="L126" s="139">
        <f t="shared" si="72"/>
        <v>1270.3585619999999</v>
      </c>
      <c r="M126" s="98"/>
      <c r="N126" s="98"/>
      <c r="O126" s="98"/>
      <c r="P126" s="125">
        <v>489.39</v>
      </c>
    </row>
    <row r="127" spans="5:16" ht="25.5">
      <c r="E127" s="143">
        <v>95470</v>
      </c>
      <c r="F127" s="128" t="s">
        <v>104</v>
      </c>
      <c r="G127" s="130" t="s">
        <v>0</v>
      </c>
      <c r="H127" s="125"/>
      <c r="I127" s="125">
        <v>1</v>
      </c>
      <c r="J127" s="125">
        <f t="shared" ref="J127" si="106">P127*(1+$P$14/100)</f>
        <v>309.62</v>
      </c>
      <c r="K127" s="126">
        <f t="shared" ref="K127" si="107">J127*$Q$14</f>
        <v>92.235798000000003</v>
      </c>
      <c r="L127" s="139">
        <f t="shared" ref="L127" si="108">I127*(J127+K127)</f>
        <v>401.85579799999999</v>
      </c>
      <c r="M127" s="98"/>
      <c r="N127" s="98"/>
      <c r="O127" s="98"/>
      <c r="P127" s="125">
        <v>309.62</v>
      </c>
    </row>
    <row r="128" spans="5:16" ht="25.5">
      <c r="E128" s="143">
        <v>95472</v>
      </c>
      <c r="F128" s="128" t="s">
        <v>104</v>
      </c>
      <c r="G128" s="130" t="s">
        <v>0</v>
      </c>
      <c r="H128" s="125"/>
      <c r="I128" s="125">
        <v>1</v>
      </c>
      <c r="J128" s="125">
        <f t="shared" ref="J128" si="109">P128*(1+$P$14/100)</f>
        <v>778.06</v>
      </c>
      <c r="K128" s="126">
        <f t="shared" ref="K128" si="110">J128*$Q$14</f>
        <v>231.78407399999998</v>
      </c>
      <c r="L128" s="139">
        <f t="shared" ref="L128" si="111">I128*(J128+K128)</f>
        <v>1009.8440739999999</v>
      </c>
      <c r="M128" s="98"/>
      <c r="N128" s="98"/>
      <c r="O128" s="98"/>
      <c r="P128" s="125">
        <v>778.06</v>
      </c>
    </row>
    <row r="129" spans="5:16">
      <c r="E129" s="143">
        <v>100849</v>
      </c>
      <c r="F129" s="128" t="s">
        <v>105</v>
      </c>
      <c r="G129" s="130" t="s">
        <v>53</v>
      </c>
      <c r="H129" s="125"/>
      <c r="I129" s="125">
        <v>5</v>
      </c>
      <c r="J129" s="125">
        <f t="shared" ref="J129" si="112">P129*(1+$P$14/100)</f>
        <v>44.6</v>
      </c>
      <c r="K129" s="126">
        <f t="shared" ref="K129" si="113">J129*$Q$14</f>
        <v>13.286340000000001</v>
      </c>
      <c r="L129" s="139">
        <f t="shared" ref="L129" si="114">I129*(J129+K129)</f>
        <v>289.43170000000003</v>
      </c>
      <c r="M129" s="98"/>
      <c r="N129" s="98"/>
      <c r="O129" s="98"/>
      <c r="P129" s="125">
        <v>44.6</v>
      </c>
    </row>
    <row r="130" spans="5:16">
      <c r="E130" s="143">
        <v>100858</v>
      </c>
      <c r="F130" s="128" t="s">
        <v>106</v>
      </c>
      <c r="G130" s="130" t="s">
        <v>53</v>
      </c>
      <c r="H130" s="125"/>
      <c r="I130" s="125">
        <v>1</v>
      </c>
      <c r="J130" s="125">
        <f t="shared" ref="J130" si="115">P130*(1+$P$14/100)</f>
        <v>596.03</v>
      </c>
      <c r="K130" s="126">
        <f t="shared" ref="K130" si="116">J130*$Q$14</f>
        <v>177.55733699999999</v>
      </c>
      <c r="L130" s="139">
        <f t="shared" ref="L130" si="117">I130*(J130+K130)</f>
        <v>773.58733699999993</v>
      </c>
      <c r="M130" s="98"/>
      <c r="N130" s="98"/>
      <c r="O130" s="98"/>
      <c r="P130" s="125">
        <v>596.03</v>
      </c>
    </row>
    <row r="131" spans="5:16" ht="25.5">
      <c r="E131" s="143">
        <v>102256</v>
      </c>
      <c r="F131" s="128" t="s">
        <v>120</v>
      </c>
      <c r="G131" s="130" t="s">
        <v>53</v>
      </c>
      <c r="H131" s="125"/>
      <c r="I131" s="125">
        <v>1</v>
      </c>
      <c r="J131" s="125">
        <f t="shared" ref="J131:J132" si="118">P131*(1+$P$14/100)</f>
        <v>832.19</v>
      </c>
      <c r="K131" s="126">
        <f t="shared" ref="K131:K132" si="119">J131*$Q$14</f>
        <v>247.909401</v>
      </c>
      <c r="L131" s="139">
        <f t="shared" ref="L131:L132" si="120">I131*(J131+K131)</f>
        <v>1080.0994009999999</v>
      </c>
      <c r="M131" s="98"/>
      <c r="N131" s="98"/>
      <c r="O131" s="98"/>
      <c r="P131" s="125">
        <v>832.19</v>
      </c>
    </row>
    <row r="132" spans="5:16" ht="25.5">
      <c r="E132" s="143">
        <v>86889</v>
      </c>
      <c r="F132" s="128" t="s">
        <v>131</v>
      </c>
      <c r="G132" s="130" t="s">
        <v>53</v>
      </c>
      <c r="H132" s="125"/>
      <c r="I132" s="125">
        <v>10</v>
      </c>
      <c r="J132" s="125">
        <f t="shared" si="118"/>
        <v>796.69</v>
      </c>
      <c r="K132" s="126">
        <f t="shared" si="119"/>
        <v>237.33395100000001</v>
      </c>
      <c r="L132" s="139">
        <f t="shared" si="120"/>
        <v>10340.239510000001</v>
      </c>
      <c r="M132" s="98"/>
      <c r="N132" s="98"/>
      <c r="O132" s="98"/>
      <c r="P132" s="125">
        <v>796.69</v>
      </c>
    </row>
    <row r="133" spans="5:16">
      <c r="E133" s="143">
        <v>100863</v>
      </c>
      <c r="F133" s="128" t="s">
        <v>107</v>
      </c>
      <c r="G133" s="130" t="s">
        <v>53</v>
      </c>
      <c r="H133" s="125"/>
      <c r="I133" s="125">
        <v>1</v>
      </c>
      <c r="J133" s="125">
        <f t="shared" ref="J133" si="121">P133*(1+$P$14/100)</f>
        <v>639.89</v>
      </c>
      <c r="K133" s="126">
        <f t="shared" ref="K133" si="122">J133*$Q$14</f>
        <v>190.623231</v>
      </c>
      <c r="L133" s="139">
        <f t="shared" ref="L133" si="123">I133*(J133+K133)</f>
        <v>830.51323100000002</v>
      </c>
      <c r="M133" s="98"/>
      <c r="N133" s="98"/>
      <c r="O133" s="98"/>
      <c r="P133" s="125">
        <v>639.89</v>
      </c>
    </row>
    <row r="134" spans="5:16" ht="25.5">
      <c r="E134" s="143">
        <v>89511</v>
      </c>
      <c r="F134" s="128" t="s">
        <v>110</v>
      </c>
      <c r="G134" s="130" t="s">
        <v>1</v>
      </c>
      <c r="H134" s="125"/>
      <c r="I134" s="125">
        <v>120</v>
      </c>
      <c r="J134" s="125">
        <f t="shared" ref="J134" si="124">P134*(1+$P$14/100)</f>
        <v>38.549999999999997</v>
      </c>
      <c r="K134" s="126">
        <f t="shared" ref="K134" si="125">J134*$Q$14</f>
        <v>11.484044999999998</v>
      </c>
      <c r="L134" s="139">
        <f t="shared" ref="L134" si="126">I134*(J134+K134)</f>
        <v>6004.085399999999</v>
      </c>
      <c r="M134" s="98"/>
      <c r="N134" s="98"/>
      <c r="O134" s="98"/>
      <c r="P134" s="125">
        <v>38.549999999999997</v>
      </c>
    </row>
    <row r="135" spans="5:16" ht="25.5">
      <c r="E135" s="143">
        <v>89512</v>
      </c>
      <c r="F135" s="128" t="s">
        <v>111</v>
      </c>
      <c r="G135" s="130" t="s">
        <v>1</v>
      </c>
      <c r="H135" s="125"/>
      <c r="I135" s="125">
        <f>15*6</f>
        <v>90</v>
      </c>
      <c r="J135" s="125">
        <f t="shared" ref="J135" si="127">P135*(1+$P$14/100)</f>
        <v>48.64</v>
      </c>
      <c r="K135" s="126">
        <f t="shared" ref="K135" si="128">J135*$Q$14</f>
        <v>14.489856</v>
      </c>
      <c r="L135" s="139">
        <f t="shared" ref="L135" si="129">I135*(J135+K135)</f>
        <v>5681.6870400000007</v>
      </c>
      <c r="M135" s="98"/>
      <c r="N135" s="98"/>
      <c r="O135" s="98"/>
      <c r="P135" s="125">
        <v>48.64</v>
      </c>
    </row>
    <row r="136" spans="5:16" ht="25.5">
      <c r="E136" s="143">
        <v>89712</v>
      </c>
      <c r="F136" s="128" t="s">
        <v>113</v>
      </c>
      <c r="G136" s="130" t="s">
        <v>1</v>
      </c>
      <c r="H136" s="125"/>
      <c r="I136" s="125">
        <f>15*6</f>
        <v>90</v>
      </c>
      <c r="J136" s="125">
        <f t="shared" ref="J136" si="130">P136*(1+$P$14/100)</f>
        <v>26.1</v>
      </c>
      <c r="K136" s="126">
        <f t="shared" ref="K136" si="131">J136*$Q$14</f>
        <v>7.7751900000000003</v>
      </c>
      <c r="L136" s="139">
        <f t="shared" ref="L136" si="132">I136*(J136+K136)</f>
        <v>3048.7671000000005</v>
      </c>
      <c r="M136" s="98"/>
      <c r="N136" s="98"/>
      <c r="O136" s="98"/>
      <c r="P136" s="125">
        <v>26.1</v>
      </c>
    </row>
    <row r="137" spans="5:16" ht="25.5">
      <c r="E137" s="143">
        <v>89714</v>
      </c>
      <c r="F137" s="128" t="s">
        <v>112</v>
      </c>
      <c r="G137" s="130" t="s">
        <v>1</v>
      </c>
      <c r="H137" s="125"/>
      <c r="I137" s="125">
        <f>15*6</f>
        <v>90</v>
      </c>
      <c r="J137" s="125">
        <f t="shared" ref="J137" si="133">P137*(1+$P$14/100)</f>
        <v>36.340000000000003</v>
      </c>
      <c r="K137" s="126">
        <f t="shared" ref="K137" si="134">J137*$Q$14</f>
        <v>10.825686000000001</v>
      </c>
      <c r="L137" s="139">
        <f t="shared" ref="L137" si="135">I137*(J137+K137)</f>
        <v>4244.9117400000005</v>
      </c>
      <c r="M137" s="98"/>
      <c r="N137" s="98"/>
      <c r="O137" s="98"/>
      <c r="P137" s="125">
        <v>36.340000000000003</v>
      </c>
    </row>
    <row r="138" spans="5:16" ht="25.5">
      <c r="E138" s="143">
        <v>89581</v>
      </c>
      <c r="F138" s="128" t="s">
        <v>114</v>
      </c>
      <c r="G138" s="130" t="s">
        <v>53</v>
      </c>
      <c r="H138" s="125"/>
      <c r="I138" s="125">
        <v>37</v>
      </c>
      <c r="J138" s="125">
        <f t="shared" ref="J138" si="136">P138*(1+$P$14/100)</f>
        <v>33.74</v>
      </c>
      <c r="K138" s="126">
        <f t="shared" ref="K138" si="137">J138*$Q$14</f>
        <v>10.051146000000001</v>
      </c>
      <c r="L138" s="139">
        <f t="shared" ref="L138" si="138">I138*(J138+K138)</f>
        <v>1620.2724020000003</v>
      </c>
      <c r="M138" s="98"/>
      <c r="N138" s="98"/>
      <c r="O138" s="98"/>
      <c r="P138" s="125">
        <v>33.74</v>
      </c>
    </row>
    <row r="139" spans="5:16" ht="25.5">
      <c r="E139" s="143">
        <v>89673</v>
      </c>
      <c r="F139" s="128" t="s">
        <v>115</v>
      </c>
      <c r="G139" s="130" t="s">
        <v>53</v>
      </c>
      <c r="H139" s="125"/>
      <c r="I139" s="125">
        <v>28</v>
      </c>
      <c r="J139" s="125">
        <f t="shared" ref="J139" si="139">P139*(1+$P$14/100)</f>
        <v>35.840000000000003</v>
      </c>
      <c r="K139" s="126">
        <f t="shared" ref="K139" si="140">J139*$Q$14</f>
        <v>10.676736000000002</v>
      </c>
      <c r="L139" s="139">
        <f t="shared" ref="L139" si="141">I139*(J139+K139)</f>
        <v>1302.4686080000001</v>
      </c>
      <c r="M139" s="98"/>
      <c r="N139" s="98"/>
      <c r="O139" s="98"/>
      <c r="P139" s="125">
        <v>35.840000000000003</v>
      </c>
    </row>
    <row r="140" spans="5:16" ht="25.5">
      <c r="E140" s="143">
        <v>89707</v>
      </c>
      <c r="F140" s="128" t="s">
        <v>116</v>
      </c>
      <c r="G140" s="130" t="s">
        <v>53</v>
      </c>
      <c r="H140" s="125"/>
      <c r="I140" s="125">
        <v>7</v>
      </c>
      <c r="J140" s="125">
        <f t="shared" ref="J140" si="142">P140*(1+$P$14/100)</f>
        <v>45.01</v>
      </c>
      <c r="K140" s="126">
        <f t="shared" ref="K140" si="143">J140*$Q$14</f>
        <v>13.408479</v>
      </c>
      <c r="L140" s="139">
        <f t="shared" ref="L140" si="144">I140*(J140+K140)</f>
        <v>408.92935299999999</v>
      </c>
      <c r="M140" s="98"/>
      <c r="N140" s="98"/>
      <c r="O140" s="98"/>
      <c r="P140" s="125">
        <v>45.01</v>
      </c>
    </row>
    <row r="141" spans="5:16">
      <c r="E141" s="143">
        <v>86878</v>
      </c>
      <c r="F141" s="128" t="s">
        <v>117</v>
      </c>
      <c r="G141" s="130" t="s">
        <v>53</v>
      </c>
      <c r="H141" s="125"/>
      <c r="I141" s="125">
        <v>7</v>
      </c>
      <c r="J141" s="125">
        <f t="shared" ref="J141" si="145">P141*(1+$P$14/100)</f>
        <v>67.38</v>
      </c>
      <c r="K141" s="126">
        <f t="shared" ref="K141" si="146">J141*$Q$14</f>
        <v>20.072502</v>
      </c>
      <c r="L141" s="139">
        <f t="shared" ref="L141" si="147">I141*(J141+K141)</f>
        <v>612.16751399999998</v>
      </c>
      <c r="M141" s="98"/>
      <c r="N141" s="98"/>
      <c r="O141" s="98"/>
      <c r="P141" s="125">
        <v>67.38</v>
      </c>
    </row>
    <row r="142" spans="5:16">
      <c r="E142" s="143">
        <v>86883</v>
      </c>
      <c r="F142" s="128" t="s">
        <v>118</v>
      </c>
      <c r="G142" s="130" t="s">
        <v>53</v>
      </c>
      <c r="H142" s="125"/>
      <c r="I142" s="125">
        <v>7</v>
      </c>
      <c r="J142" s="125">
        <f t="shared" ref="J142" si="148">P142*(1+$P$14/100)</f>
        <v>14.14</v>
      </c>
      <c r="K142" s="126">
        <f t="shared" ref="K142" si="149">J142*$Q$14</f>
        <v>4.2123059999999999</v>
      </c>
      <c r="L142" s="139">
        <f t="shared" ref="L142" si="150">I142*(J142+K142)</f>
        <v>128.46614199999999</v>
      </c>
      <c r="M142" s="98"/>
      <c r="N142" s="98"/>
      <c r="O142" s="98"/>
      <c r="P142" s="125">
        <v>14.14</v>
      </c>
    </row>
    <row r="143" spans="5:16">
      <c r="E143" s="143">
        <v>86885</v>
      </c>
      <c r="F143" s="128" t="s">
        <v>119</v>
      </c>
      <c r="G143" s="130" t="s">
        <v>53</v>
      </c>
      <c r="H143" s="125"/>
      <c r="I143" s="125">
        <v>7</v>
      </c>
      <c r="J143" s="125">
        <f t="shared" ref="J143" si="151">P143*(1+$P$14/100)</f>
        <v>13.43</v>
      </c>
      <c r="K143" s="126">
        <f t="shared" ref="K143" si="152">J143*$Q$14</f>
        <v>4.0007969999999995</v>
      </c>
      <c r="L143" s="139">
        <f t="shared" ref="L143" si="153">I143*(J143+K143)</f>
        <v>122.01557899999999</v>
      </c>
      <c r="M143" s="98"/>
      <c r="N143" s="98"/>
      <c r="O143" s="98"/>
      <c r="P143" s="125">
        <v>13.43</v>
      </c>
    </row>
    <row r="144" spans="5:16">
      <c r="E144" s="143">
        <v>102609</v>
      </c>
      <c r="F144" s="128" t="s">
        <v>121</v>
      </c>
      <c r="G144" s="130" t="s">
        <v>0</v>
      </c>
      <c r="H144" s="125"/>
      <c r="I144" s="125">
        <v>1</v>
      </c>
      <c r="J144" s="125">
        <f t="shared" si="70"/>
        <v>1137.44</v>
      </c>
      <c r="K144" s="126">
        <f t="shared" si="71"/>
        <v>338.84337600000003</v>
      </c>
      <c r="L144" s="139">
        <f t="shared" si="72"/>
        <v>1476.2833760000001</v>
      </c>
      <c r="M144" s="98"/>
      <c r="N144" s="98"/>
      <c r="O144" s="98"/>
      <c r="P144" s="125">
        <v>1137.44</v>
      </c>
    </row>
    <row r="145" spans="5:16">
      <c r="E145" s="190"/>
      <c r="F145" s="26" t="s">
        <v>6</v>
      </c>
      <c r="G145" s="21"/>
      <c r="H145" s="21"/>
      <c r="I145" s="152"/>
      <c r="J145" s="125"/>
      <c r="K145" s="126"/>
      <c r="L145" s="33">
        <f>SUM(L105:L144)</f>
        <v>49805.757368999999</v>
      </c>
      <c r="M145" s="120"/>
      <c r="N145" s="120"/>
      <c r="O145" s="120"/>
      <c r="P145" s="123"/>
    </row>
    <row r="146" spans="5:16">
      <c r="E146" s="244" t="s">
        <v>5</v>
      </c>
      <c r="F146" s="21" t="s">
        <v>39</v>
      </c>
      <c r="G146" s="131"/>
      <c r="H146" s="131"/>
      <c r="I146" s="131"/>
      <c r="J146" s="125"/>
      <c r="K146" s="126"/>
      <c r="L146" s="153"/>
      <c r="M146" s="120"/>
      <c r="N146" s="120"/>
      <c r="O146" s="120"/>
      <c r="P146" s="122"/>
    </row>
    <row r="147" spans="5:16">
      <c r="E147" s="190"/>
      <c r="F147" s="131"/>
      <c r="G147" s="131"/>
      <c r="H147" s="131"/>
      <c r="I147" s="131"/>
      <c r="J147" s="125"/>
      <c r="K147" s="126"/>
      <c r="L147" s="153"/>
      <c r="M147" s="120"/>
      <c r="N147" s="120"/>
      <c r="O147" s="120"/>
      <c r="P147" s="122"/>
    </row>
    <row r="148" spans="5:16" ht="25.5">
      <c r="E148" s="216">
        <v>92986</v>
      </c>
      <c r="F148" s="131" t="s">
        <v>213</v>
      </c>
      <c r="G148" s="130" t="s">
        <v>0</v>
      </c>
      <c r="H148" s="125"/>
      <c r="I148" s="125">
        <v>478.64</v>
      </c>
      <c r="J148" s="125">
        <f t="shared" ref="J148" si="154">P148*(1+$P$14/100)</f>
        <v>35.99</v>
      </c>
      <c r="K148" s="126">
        <f t="shared" ref="K148" si="155">J148*$Q$14</f>
        <v>10.721421000000001</v>
      </c>
      <c r="L148" s="139">
        <f t="shared" ref="L148" si="156">I148*(J148+K148)</f>
        <v>22357.95454744</v>
      </c>
      <c r="M148" s="98"/>
      <c r="N148" s="98"/>
      <c r="O148" s="98"/>
      <c r="P148" s="125">
        <v>35.99</v>
      </c>
    </row>
    <row r="149" spans="5:16" ht="25.5">
      <c r="E149" s="246">
        <v>101560</v>
      </c>
      <c r="F149" s="114" t="s">
        <v>211</v>
      </c>
      <c r="G149" s="129" t="s">
        <v>1</v>
      </c>
      <c r="H149" s="131"/>
      <c r="I149" s="125">
        <v>500</v>
      </c>
      <c r="J149" s="125">
        <f>P149*(1+$P$14/100)</f>
        <v>9.68</v>
      </c>
      <c r="K149" s="126">
        <f>J149*$Q$14</f>
        <v>2.8836719999999998</v>
      </c>
      <c r="L149" s="139">
        <f>I149*(J149+K149)</f>
        <v>6281.8360000000002</v>
      </c>
      <c r="M149" s="98"/>
      <c r="N149" s="98"/>
      <c r="O149" s="98"/>
      <c r="P149" s="132">
        <v>9.68</v>
      </c>
    </row>
    <row r="150" spans="5:16" ht="38.25">
      <c r="E150" s="215">
        <v>104474</v>
      </c>
      <c r="F150" s="114" t="s">
        <v>212</v>
      </c>
      <c r="G150" s="124" t="s">
        <v>0</v>
      </c>
      <c r="H150" s="131"/>
      <c r="I150" s="125">
        <v>186</v>
      </c>
      <c r="J150" s="125">
        <f t="shared" ref="J150" si="157">P150*(1+$P$14/100)</f>
        <v>326.60000000000002</v>
      </c>
      <c r="K150" s="126">
        <f t="shared" ref="K150" si="158">J150*$Q$14</f>
        <v>97.294140000000013</v>
      </c>
      <c r="L150" s="139">
        <f t="shared" ref="L150" si="159">I150*(J150+K150)</f>
        <v>78844.310040000011</v>
      </c>
      <c r="M150" s="98"/>
      <c r="N150" s="98"/>
      <c r="O150" s="98"/>
      <c r="P150" s="132">
        <v>326.60000000000002</v>
      </c>
    </row>
    <row r="151" spans="5:16">
      <c r="E151" s="143">
        <v>97593</v>
      </c>
      <c r="F151" s="128" t="s">
        <v>122</v>
      </c>
      <c r="G151" s="130" t="s">
        <v>0</v>
      </c>
      <c r="H151" s="131"/>
      <c r="I151" s="125">
        <v>57</v>
      </c>
      <c r="J151" s="125">
        <f t="shared" ref="J151" si="160">P151*(1+$P$14/100)</f>
        <v>128.9</v>
      </c>
      <c r="K151" s="126">
        <f t="shared" ref="K151" si="161">J151*$Q$14</f>
        <v>38.39931</v>
      </c>
      <c r="L151" s="139">
        <f t="shared" ref="L151" si="162">I151*(J151+K151)</f>
        <v>9536.0606699999989</v>
      </c>
      <c r="M151" s="98"/>
      <c r="N151" s="98"/>
      <c r="O151" s="98"/>
      <c r="P151" s="132">
        <v>128.9</v>
      </c>
    </row>
    <row r="152" spans="5:16" ht="25.5">
      <c r="E152" s="215">
        <v>101882</v>
      </c>
      <c r="F152" s="114" t="s">
        <v>123</v>
      </c>
      <c r="G152" s="129" t="s">
        <v>53</v>
      </c>
      <c r="H152" s="131"/>
      <c r="I152" s="125">
        <v>1</v>
      </c>
      <c r="J152" s="125">
        <f t="shared" ref="J152" si="163">P152*(1+$P$14/100)</f>
        <v>1492.42</v>
      </c>
      <c r="K152" s="126">
        <f t="shared" ref="K152" si="164">J152*$Q$14</f>
        <v>444.59191800000002</v>
      </c>
      <c r="L152" s="139">
        <f t="shared" ref="L152" si="165">I152*(J152+K152)</f>
        <v>1937.0119180000002</v>
      </c>
      <c r="M152" s="98"/>
      <c r="N152" s="98"/>
      <c r="O152" s="98"/>
      <c r="P152" s="132">
        <v>1492.42</v>
      </c>
    </row>
    <row r="153" spans="5:16">
      <c r="E153" s="246">
        <v>93653</v>
      </c>
      <c r="F153" s="114" t="s">
        <v>206</v>
      </c>
      <c r="G153" s="129" t="s">
        <v>53</v>
      </c>
      <c r="H153" s="131"/>
      <c r="I153" s="125">
        <v>3</v>
      </c>
      <c r="J153" s="125">
        <f t="shared" ref="J153" si="166">P153*(1+$P$14/100)</f>
        <v>12.6</v>
      </c>
      <c r="K153" s="126">
        <f t="shared" ref="K153" si="167">J153*$Q$14</f>
        <v>3.7535399999999997</v>
      </c>
      <c r="L153" s="139">
        <f t="shared" ref="L153" si="168">I153*(J153+K153)</f>
        <v>49.06062</v>
      </c>
      <c r="M153" s="98"/>
      <c r="N153" s="98"/>
      <c r="O153" s="98"/>
      <c r="P153" s="132">
        <v>12.6</v>
      </c>
    </row>
    <row r="154" spans="5:16">
      <c r="E154" s="246">
        <v>93658</v>
      </c>
      <c r="F154" s="114" t="s">
        <v>207</v>
      </c>
      <c r="G154" s="129" t="s">
        <v>53</v>
      </c>
      <c r="H154" s="131"/>
      <c r="I154" s="125">
        <v>3</v>
      </c>
      <c r="J154" s="125">
        <f t="shared" ref="J154:J155" si="169">P154*(1+$P$14/100)</f>
        <v>22.76</v>
      </c>
      <c r="K154" s="126">
        <f t="shared" ref="K154" si="170">J154*$Q$14</f>
        <v>6.7802040000000003</v>
      </c>
      <c r="L154" s="139">
        <f t="shared" ref="L154" si="171">I154*(J154+K154)</f>
        <v>88.620612000000008</v>
      </c>
      <c r="M154" s="98"/>
      <c r="N154" s="98"/>
      <c r="O154" s="98"/>
      <c r="P154" s="132">
        <v>22.76</v>
      </c>
    </row>
    <row r="155" spans="5:16">
      <c r="E155" s="246">
        <v>93660</v>
      </c>
      <c r="F155" s="114" t="s">
        <v>208</v>
      </c>
      <c r="G155" s="129" t="s">
        <v>53</v>
      </c>
      <c r="H155" s="131"/>
      <c r="I155" s="125">
        <v>16</v>
      </c>
      <c r="J155" s="125">
        <f t="shared" si="169"/>
        <v>61.94</v>
      </c>
      <c r="K155" s="126">
        <f t="shared" ref="K155:K159" si="172">J155*$Q$14</f>
        <v>18.451926</v>
      </c>
      <c r="L155" s="139">
        <f t="shared" ref="L155:L159" si="173">I155*(J155+K155)</f>
        <v>1286.270816</v>
      </c>
      <c r="M155" s="98"/>
      <c r="N155" s="98"/>
      <c r="O155" s="98"/>
      <c r="P155" s="132">
        <v>61.94</v>
      </c>
    </row>
    <row r="156" spans="5:16">
      <c r="E156" s="246">
        <v>93661</v>
      </c>
      <c r="F156" s="114" t="s">
        <v>209</v>
      </c>
      <c r="G156" s="129" t="s">
        <v>53</v>
      </c>
      <c r="H156" s="131"/>
      <c r="I156" s="125">
        <v>5</v>
      </c>
      <c r="J156" s="125">
        <f t="shared" ref="J156" si="174">P156*(1+$P$14/100)</f>
        <v>63.09</v>
      </c>
      <c r="K156" s="126">
        <f t="shared" ref="K156" si="175">J156*$Q$14</f>
        <v>18.794511</v>
      </c>
      <c r="L156" s="139">
        <f t="shared" ref="L156" si="176">I156*(J156+K156)</f>
        <v>409.42255499999999</v>
      </c>
      <c r="M156" s="98"/>
      <c r="N156" s="98"/>
      <c r="O156" s="98"/>
      <c r="P156" s="132">
        <v>63.09</v>
      </c>
    </row>
    <row r="157" spans="5:16">
      <c r="E157" s="246">
        <v>2391</v>
      </c>
      <c r="F157" s="114" t="s">
        <v>205</v>
      </c>
      <c r="G157" s="129" t="s">
        <v>53</v>
      </c>
      <c r="H157" s="131"/>
      <c r="I157" s="125">
        <v>2</v>
      </c>
      <c r="J157" s="125">
        <f t="shared" ref="J157" si="177">P157*(1+$P$14/100)</f>
        <v>377.11</v>
      </c>
      <c r="K157" s="126">
        <f t="shared" ref="K157" si="178">J157*$Q$14</f>
        <v>112.341069</v>
      </c>
      <c r="L157" s="139">
        <f t="shared" ref="L157" si="179">I157*(J157+K157)</f>
        <v>978.90213800000004</v>
      </c>
      <c r="M157" s="98"/>
      <c r="N157" s="98"/>
      <c r="O157" s="98"/>
      <c r="P157" s="132">
        <v>377.11</v>
      </c>
    </row>
    <row r="158" spans="5:16">
      <c r="E158" s="246">
        <v>39465</v>
      </c>
      <c r="F158" s="114" t="s">
        <v>210</v>
      </c>
      <c r="G158" s="129" t="s">
        <v>53</v>
      </c>
      <c r="H158" s="131"/>
      <c r="I158" s="125">
        <v>4</v>
      </c>
      <c r="J158" s="125">
        <f t="shared" ref="J158" si="180">P158*(1+$P$14/100)</f>
        <v>73.66</v>
      </c>
      <c r="K158" s="126">
        <f t="shared" ref="K158" si="181">J158*$Q$14</f>
        <v>21.943313999999997</v>
      </c>
      <c r="L158" s="139">
        <f t="shared" ref="L158" si="182">I158*(J158+K158)</f>
        <v>382.41325599999999</v>
      </c>
      <c r="M158" s="98"/>
      <c r="N158" s="98"/>
      <c r="O158" s="98"/>
      <c r="P158" s="132">
        <v>73.66</v>
      </c>
    </row>
    <row r="159" spans="5:16" ht="25.5">
      <c r="E159" s="192"/>
      <c r="F159" s="114" t="s">
        <v>130</v>
      </c>
      <c r="G159" s="129" t="s">
        <v>1</v>
      </c>
      <c r="H159" s="131"/>
      <c r="I159" s="125">
        <v>122.26</v>
      </c>
      <c r="J159" s="125">
        <f t="shared" ref="J159" si="183">P159*(1+$P$14/100)</f>
        <v>30</v>
      </c>
      <c r="K159" s="126">
        <f t="shared" si="172"/>
        <v>8.9369999999999994</v>
      </c>
      <c r="L159" s="139">
        <f t="shared" si="173"/>
        <v>4760.4376199999997</v>
      </c>
      <c r="M159" s="98"/>
      <c r="N159" s="98"/>
      <c r="O159" s="98"/>
      <c r="P159" s="161">
        <v>30</v>
      </c>
    </row>
    <row r="160" spans="5:16">
      <c r="E160" s="190"/>
      <c r="F160" s="26" t="s">
        <v>6</v>
      </c>
      <c r="G160" s="21"/>
      <c r="H160" s="21"/>
      <c r="I160" s="152"/>
      <c r="J160" s="21"/>
      <c r="K160" s="21"/>
      <c r="L160" s="33">
        <f>SUM(L148:L159)</f>
        <v>126912.30079244003</v>
      </c>
      <c r="M160" s="120"/>
      <c r="N160" s="120"/>
      <c r="O160" s="120"/>
      <c r="P160" s="120"/>
    </row>
    <row r="161" spans="5:18">
      <c r="E161" s="244" t="s">
        <v>167</v>
      </c>
      <c r="F161" s="21" t="s">
        <v>157</v>
      </c>
      <c r="G161" s="21"/>
      <c r="H161" s="21"/>
      <c r="I161" s="152"/>
      <c r="J161" s="21"/>
      <c r="K161" s="189"/>
      <c r="L161" s="33"/>
      <c r="M161" s="120"/>
      <c r="N161" s="120"/>
      <c r="O161" s="120"/>
      <c r="P161" s="120"/>
    </row>
    <row r="162" spans="5:18">
      <c r="E162" s="191"/>
      <c r="F162" s="21"/>
      <c r="G162" s="21"/>
      <c r="H162" s="21"/>
      <c r="I162" s="152"/>
      <c r="J162" s="21"/>
      <c r="K162" s="189"/>
      <c r="L162" s="33"/>
      <c r="M162" s="120"/>
      <c r="N162" s="120"/>
      <c r="O162" s="120"/>
      <c r="P162" s="120"/>
    </row>
    <row r="163" spans="5:18">
      <c r="E163" s="245">
        <v>98297</v>
      </c>
      <c r="F163" s="131" t="s">
        <v>160</v>
      </c>
      <c r="G163" s="129" t="s">
        <v>1</v>
      </c>
      <c r="H163" s="131"/>
      <c r="I163" s="125">
        <v>1935</v>
      </c>
      <c r="J163" s="125">
        <f t="shared" ref="J163:J169" si="184">P163*(1+$P$14/100)</f>
        <v>6.88</v>
      </c>
      <c r="K163" s="126">
        <f t="shared" ref="K163:K169" si="185">J163*$Q$14</f>
        <v>2.0495519999999998</v>
      </c>
      <c r="L163" s="139">
        <f t="shared" ref="L163:L169" si="186">I163*(J163+K163)</f>
        <v>17278.683119999998</v>
      </c>
      <c r="M163" s="98"/>
      <c r="N163" s="98"/>
      <c r="O163" s="98"/>
      <c r="P163" s="193">
        <v>6.88</v>
      </c>
    </row>
    <row r="164" spans="5:18">
      <c r="E164" s="245">
        <v>98304</v>
      </c>
      <c r="F164" s="131" t="s">
        <v>161</v>
      </c>
      <c r="G164" s="129" t="s">
        <v>1</v>
      </c>
      <c r="H164" s="131"/>
      <c r="I164" s="125">
        <v>2</v>
      </c>
      <c r="J164" s="125">
        <f t="shared" si="184"/>
        <v>3183.17</v>
      </c>
      <c r="K164" s="126">
        <f t="shared" si="185"/>
        <v>948.26634300000001</v>
      </c>
      <c r="L164" s="139">
        <f t="shared" si="186"/>
        <v>8262.8726860000006</v>
      </c>
      <c r="M164" s="98"/>
      <c r="N164" s="98"/>
      <c r="O164" s="98"/>
      <c r="P164" s="193">
        <v>3183.17</v>
      </c>
    </row>
    <row r="165" spans="5:18">
      <c r="E165" s="245">
        <v>98307</v>
      </c>
      <c r="F165" s="131" t="s">
        <v>162</v>
      </c>
      <c r="G165" s="129" t="s">
        <v>1</v>
      </c>
      <c r="H165" s="131"/>
      <c r="I165" s="125">
        <v>53</v>
      </c>
      <c r="J165" s="125">
        <f t="shared" si="184"/>
        <v>42.92</v>
      </c>
      <c r="K165" s="126">
        <f t="shared" si="185"/>
        <v>12.785868000000001</v>
      </c>
      <c r="L165" s="139">
        <f t="shared" si="186"/>
        <v>2952.411004</v>
      </c>
      <c r="M165" s="98"/>
      <c r="N165" s="98"/>
      <c r="O165" s="98"/>
      <c r="P165" s="193">
        <v>42.92</v>
      </c>
    </row>
    <row r="166" spans="5:18">
      <c r="E166" s="245">
        <v>98308</v>
      </c>
      <c r="F166" s="131" t="s">
        <v>163</v>
      </c>
      <c r="G166" s="129" t="s">
        <v>1</v>
      </c>
      <c r="H166" s="131"/>
      <c r="I166" s="125">
        <v>53</v>
      </c>
      <c r="J166" s="125">
        <f t="shared" si="184"/>
        <v>28.11</v>
      </c>
      <c r="K166" s="126">
        <f t="shared" si="185"/>
        <v>8.3739690000000007</v>
      </c>
      <c r="L166" s="139">
        <f t="shared" si="186"/>
        <v>1933.650357</v>
      </c>
      <c r="M166" s="98"/>
      <c r="N166" s="98"/>
      <c r="O166" s="98"/>
      <c r="P166" s="193">
        <v>28.11</v>
      </c>
    </row>
    <row r="167" spans="5:18" ht="25.5">
      <c r="E167" s="245">
        <v>98287</v>
      </c>
      <c r="F167" s="131" t="s">
        <v>164</v>
      </c>
      <c r="G167" s="129" t="s">
        <v>1</v>
      </c>
      <c r="H167" s="131"/>
      <c r="I167" s="125">
        <v>1935</v>
      </c>
      <c r="J167" s="125">
        <f t="shared" si="184"/>
        <v>1.26</v>
      </c>
      <c r="K167" s="126">
        <f t="shared" si="185"/>
        <v>0.37535400000000002</v>
      </c>
      <c r="L167" s="139">
        <f t="shared" si="186"/>
        <v>3164.4099900000001</v>
      </c>
      <c r="M167" s="98"/>
      <c r="N167" s="98"/>
      <c r="O167" s="98"/>
      <c r="P167" s="193">
        <v>1.26</v>
      </c>
    </row>
    <row r="168" spans="5:18">
      <c r="E168" s="245">
        <v>100556</v>
      </c>
      <c r="F168" s="131" t="s">
        <v>165</v>
      </c>
      <c r="G168" s="129" t="s">
        <v>1</v>
      </c>
      <c r="H168" s="131"/>
      <c r="I168" s="125">
        <v>4</v>
      </c>
      <c r="J168" s="125">
        <f t="shared" si="184"/>
        <v>41.53</v>
      </c>
      <c r="K168" s="126">
        <f t="shared" si="185"/>
        <v>12.371786999999999</v>
      </c>
      <c r="L168" s="139">
        <f t="shared" si="186"/>
        <v>215.607148</v>
      </c>
      <c r="M168" s="98"/>
      <c r="N168" s="98"/>
      <c r="O168" s="98"/>
      <c r="P168" s="193">
        <v>41.53</v>
      </c>
    </row>
    <row r="169" spans="5:18" ht="25.5">
      <c r="E169" s="245">
        <v>91846</v>
      </c>
      <c r="F169" s="131" t="s">
        <v>166</v>
      </c>
      <c r="G169" s="129" t="s">
        <v>1</v>
      </c>
      <c r="H169" s="131"/>
      <c r="I169" s="125">
        <v>1000</v>
      </c>
      <c r="J169" s="125">
        <f t="shared" si="184"/>
        <v>9.32</v>
      </c>
      <c r="K169" s="126">
        <f t="shared" si="185"/>
        <v>2.7764280000000001</v>
      </c>
      <c r="L169" s="139">
        <f t="shared" si="186"/>
        <v>12096.428</v>
      </c>
      <c r="M169" s="98"/>
      <c r="N169" s="98"/>
      <c r="O169" s="98"/>
      <c r="P169" s="193">
        <v>9.32</v>
      </c>
    </row>
    <row r="170" spans="5:18">
      <c r="E170" s="190"/>
      <c r="F170" s="26" t="s">
        <v>6</v>
      </c>
      <c r="G170" s="21"/>
      <c r="H170" s="21"/>
      <c r="I170" s="152"/>
      <c r="J170" s="21"/>
      <c r="K170" s="21"/>
      <c r="L170" s="33">
        <f>SUM(L163:L169)</f>
        <v>45904.062304999999</v>
      </c>
      <c r="M170" s="98"/>
      <c r="N170" s="98"/>
      <c r="O170" s="98"/>
      <c r="P170" s="193"/>
    </row>
    <row r="171" spans="5:18">
      <c r="E171" s="214" t="s">
        <v>196</v>
      </c>
      <c r="F171" s="18" t="s">
        <v>31</v>
      </c>
      <c r="G171" s="124"/>
      <c r="H171" s="125"/>
      <c r="I171" s="125"/>
      <c r="J171" s="125"/>
      <c r="K171" s="126"/>
      <c r="L171" s="139"/>
      <c r="M171" s="98"/>
      <c r="N171" s="98"/>
      <c r="O171" s="98"/>
      <c r="P171" s="98"/>
    </row>
    <row r="172" spans="5:18" ht="6.75" customHeight="1">
      <c r="E172" s="144"/>
      <c r="F172" s="122"/>
      <c r="G172" s="116"/>
      <c r="H172" s="117"/>
      <c r="I172" s="117"/>
      <c r="J172" s="117"/>
      <c r="K172" s="118"/>
      <c r="L172" s="119"/>
      <c r="M172" s="98"/>
      <c r="N172" s="98"/>
      <c r="O172" s="98"/>
      <c r="P172" s="98"/>
    </row>
    <row r="173" spans="5:18">
      <c r="E173" s="215">
        <v>99804</v>
      </c>
      <c r="F173" s="114" t="s">
        <v>188</v>
      </c>
      <c r="G173" s="129" t="s">
        <v>3</v>
      </c>
      <c r="H173" s="125"/>
      <c r="I173" s="125">
        <f>I86</f>
        <v>642.89</v>
      </c>
      <c r="J173" s="125">
        <f>P173*(1+$P$14/100)</f>
        <v>4.8499999999999996</v>
      </c>
      <c r="K173" s="126">
        <f>J173*$Q$14</f>
        <v>1.444815</v>
      </c>
      <c r="L173" s="139">
        <f>I173*(J173+K173)</f>
        <v>4046.8736153499999</v>
      </c>
      <c r="M173" s="98"/>
      <c r="N173" s="98"/>
      <c r="O173" s="98"/>
      <c r="P173" s="98">
        <v>4.8499999999999996</v>
      </c>
    </row>
    <row r="174" spans="5:18" ht="16.5" customHeight="1">
      <c r="E174" s="154"/>
      <c r="F174" s="26" t="s">
        <v>6</v>
      </c>
      <c r="G174" s="27"/>
      <c r="H174" s="28"/>
      <c r="I174" s="97"/>
      <c r="J174" s="125"/>
      <c r="K174" s="126"/>
      <c r="L174" s="29">
        <f>SUM(L173)</f>
        <v>4046.8736153499999</v>
      </c>
      <c r="M174" s="98"/>
      <c r="N174" s="98"/>
      <c r="O174" s="98"/>
      <c r="P174" s="98"/>
    </row>
    <row r="175" spans="5:18" ht="6.75" customHeight="1">
      <c r="E175" s="146"/>
      <c r="F175" s="31"/>
      <c r="G175" s="30"/>
      <c r="H175" s="30"/>
      <c r="I175" s="30"/>
      <c r="J175" s="30"/>
      <c r="K175" s="30"/>
      <c r="L175" s="32"/>
    </row>
    <row r="176" spans="5:18">
      <c r="E176" s="147"/>
      <c r="F176" s="18" t="s">
        <v>7</v>
      </c>
      <c r="G176" s="18"/>
      <c r="H176" s="21"/>
      <c r="I176" s="103"/>
      <c r="J176" s="39"/>
      <c r="K176" s="18"/>
      <c r="L176" s="33">
        <f>SUM(L35,L50,L58,L68,L72,L89,L95,L102,L145,L160,L174,L82,L170,L23)</f>
        <v>2455779.5484509994</v>
      </c>
      <c r="P176" s="19"/>
      <c r="R176" s="247" t="s">
        <v>214</v>
      </c>
    </row>
    <row r="177" spans="5:16" ht="6" customHeight="1">
      <c r="E177" s="148"/>
      <c r="F177" s="34"/>
      <c r="G177" s="34"/>
      <c r="H177" s="34"/>
      <c r="I177" s="34"/>
      <c r="J177" s="34"/>
      <c r="K177" s="34"/>
      <c r="L177" s="35"/>
      <c r="P177" s="38"/>
    </row>
    <row r="178" spans="5:16" ht="6" customHeight="1">
      <c r="E178" s="149"/>
      <c r="F178" s="95"/>
      <c r="G178" s="95"/>
      <c r="H178" s="95"/>
      <c r="I178" s="95"/>
      <c r="J178" s="95"/>
      <c r="K178" s="95"/>
      <c r="L178" s="96"/>
    </row>
    <row r="179" spans="5:16">
      <c r="E179" s="149"/>
      <c r="F179" s="95"/>
      <c r="G179" s="95"/>
      <c r="H179" s="95"/>
      <c r="I179" s="95"/>
      <c r="J179" s="95"/>
      <c r="K179" s="95"/>
      <c r="L179" s="96"/>
    </row>
  </sheetData>
  <mergeCells count="2">
    <mergeCell ref="E4:L4"/>
    <mergeCell ref="E5:L5"/>
  </mergeCells>
  <phoneticPr fontId="0" type="noConversion"/>
  <printOptions horizontalCentered="1"/>
  <pageMargins left="0.39370078740157483" right="0.19685039370078741" top="0.19685039370078741" bottom="0.55118110236220474" header="0" footer="0.15748031496062992"/>
  <pageSetup paperSize="9" scale="72" orientation="landscape" horizontalDpi="4294967293" verticalDpi="4294967293" r:id="rId1"/>
  <headerFooter alignWithMargins="0">
    <oddFooter>&amp;CAntônio Fernandes Cruz
Engenheiro Civil
CREA 1201004020</oddFooter>
  </headerFooter>
  <rowBreaks count="5" manualBreakCount="5">
    <brk id="45" min="3" max="12" man="1"/>
    <brk id="72" min="3" max="12" man="1"/>
    <brk id="102" min="3" max="12" man="1"/>
    <brk id="127" min="3" max="12" man="1"/>
    <brk id="152" min="3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E1:X34"/>
  <sheetViews>
    <sheetView view="pageBreakPreview" topLeftCell="C1" zoomScaleSheetLayoutView="100" workbookViewId="0">
      <selection activeCell="G30" sqref="G30"/>
    </sheetView>
  </sheetViews>
  <sheetFormatPr defaultRowHeight="12.75"/>
  <cols>
    <col min="4" max="4" width="0.85546875" customWidth="1"/>
    <col min="5" max="5" width="5.140625" customWidth="1"/>
    <col min="6" max="6" width="32.5703125" customWidth="1"/>
    <col min="7" max="7" width="13.42578125" customWidth="1"/>
    <col min="8" max="8" width="0.42578125" style="1" customWidth="1"/>
    <col min="9" max="9" width="7.85546875" style="1" customWidth="1"/>
    <col min="10" max="10" width="12.42578125" style="1" customWidth="1"/>
    <col min="11" max="11" width="7.7109375" style="1" customWidth="1"/>
    <col min="12" max="12" width="12.140625" style="1" customWidth="1"/>
    <col min="13" max="13" width="7.7109375" style="1" bestFit="1" customWidth="1"/>
    <col min="14" max="14" width="12.140625" style="1" customWidth="1"/>
    <col min="15" max="15" width="7.7109375" style="1" bestFit="1" customWidth="1"/>
    <col min="16" max="16" width="12" style="1" customWidth="1"/>
    <col min="17" max="17" width="11.140625" style="1" customWidth="1"/>
    <col min="18" max="18" width="12" style="1" customWidth="1"/>
    <col min="19" max="19" width="11.140625" style="1" customWidth="1"/>
    <col min="20" max="20" width="12.42578125" style="1" customWidth="1"/>
    <col min="21" max="21" width="11.140625" style="19" customWidth="1"/>
    <col min="22" max="22" width="1.140625" customWidth="1"/>
    <col min="23" max="23" width="12.7109375" customWidth="1"/>
    <col min="24" max="24" width="14.28515625" customWidth="1"/>
  </cols>
  <sheetData>
    <row r="1" spans="5:21">
      <c r="H1"/>
      <c r="I1"/>
      <c r="J1"/>
      <c r="K1"/>
      <c r="L1"/>
      <c r="M1"/>
      <c r="N1"/>
      <c r="O1"/>
      <c r="P1"/>
      <c r="Q1"/>
      <c r="R1"/>
      <c r="S1"/>
      <c r="T1"/>
    </row>
    <row r="2" spans="5:21" ht="5.25" customHeight="1">
      <c r="F2" s="12"/>
      <c r="H2"/>
      <c r="I2"/>
      <c r="J2"/>
      <c r="K2"/>
      <c r="L2"/>
      <c r="M2"/>
      <c r="N2"/>
      <c r="O2"/>
      <c r="P2"/>
      <c r="Q2"/>
      <c r="R2"/>
      <c r="S2"/>
      <c r="T2"/>
    </row>
    <row r="3" spans="5:21" ht="12" customHeight="1">
      <c r="E3" s="9"/>
      <c r="F3" s="20"/>
      <c r="G3" s="10"/>
      <c r="H3" s="10"/>
      <c r="I3" s="10"/>
      <c r="J3" s="10"/>
      <c r="K3" s="10"/>
      <c r="L3" s="11"/>
      <c r="M3" s="11"/>
      <c r="N3" s="11"/>
      <c r="O3" s="11"/>
      <c r="P3" s="11"/>
      <c r="Q3" s="11"/>
      <c r="R3" s="11"/>
      <c r="S3" s="11"/>
      <c r="T3" s="11"/>
      <c r="U3" s="22"/>
    </row>
    <row r="4" spans="5:21" ht="20.25" customHeight="1">
      <c r="E4" s="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158"/>
      <c r="R4" s="158"/>
      <c r="S4" s="158"/>
      <c r="T4" s="158"/>
      <c r="U4" s="23"/>
    </row>
    <row r="5" spans="5:21" ht="15.75" customHeight="1">
      <c r="E5" s="248" t="str">
        <f>'Planilha orçamentária'!$E$5:$L$5</f>
        <v>CNPJ 10.716.738/0001-03</v>
      </c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50"/>
    </row>
    <row r="6" spans="5:21">
      <c r="E6" s="7"/>
      <c r="F6" s="13"/>
      <c r="G6" s="12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24"/>
    </row>
    <row r="7" spans="5:21">
      <c r="F7" s="8"/>
    </row>
    <row r="8" spans="5:21" ht="18">
      <c r="E8" s="17" t="s">
        <v>37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spans="5:21">
      <c r="E9" t="str">
        <f>'Planilha orçamentária'!E9</f>
        <v>Obra: Câmara Municipal de Alta Floresta.</v>
      </c>
      <c r="H9"/>
      <c r="I9"/>
      <c r="J9"/>
      <c r="K9"/>
      <c r="L9"/>
      <c r="M9"/>
      <c r="N9" s="15"/>
      <c r="O9" s="15"/>
      <c r="P9" s="15"/>
      <c r="Q9" s="15"/>
      <c r="R9" s="15"/>
      <c r="S9" s="15"/>
      <c r="T9" s="15"/>
    </row>
    <row r="10" spans="5:21">
      <c r="E10" t="str">
        <f>'Planilha orçamentária'!E10</f>
        <v>Endereço:  Avenida Ariosto da Riva, Lote AC 18/2, Canteiro Central, Alta Floresta MT.</v>
      </c>
      <c r="H10"/>
      <c r="I10"/>
      <c r="J10"/>
      <c r="K10"/>
      <c r="L10"/>
      <c r="M10"/>
      <c r="N10" s="15"/>
      <c r="O10" s="15"/>
      <c r="P10" s="15"/>
      <c r="Q10" s="15"/>
      <c r="R10" s="15"/>
      <c r="S10" s="15"/>
      <c r="T10" s="15"/>
    </row>
    <row r="11" spans="5:21">
      <c r="E11" t="str">
        <f>'Planilha orçamentária'!E11</f>
        <v>Ampliação do pavimento superior a ser construído com área de 642,89m²</v>
      </c>
      <c r="H11"/>
      <c r="I11"/>
      <c r="J11"/>
      <c r="K11"/>
      <c r="L11"/>
      <c r="M11"/>
      <c r="N11" s="15"/>
      <c r="O11" s="15"/>
      <c r="P11" s="15"/>
      <c r="Q11" s="15"/>
      <c r="R11" s="15"/>
      <c r="S11" s="15"/>
      <c r="T11" s="15"/>
    </row>
    <row r="12" spans="5:21">
      <c r="E12" t="str">
        <f>'Planilha orçamentária'!E12</f>
        <v>LDI = 29,79%</v>
      </c>
      <c r="F12" s="194"/>
    </row>
    <row r="13" spans="5:21" ht="13.5" thickBot="1">
      <c r="E13" s="16" t="str">
        <f>'Planilha orçamentária'!E13</f>
        <v>BOLETIM SINAPI Junho - 2023.</v>
      </c>
      <c r="F13" s="16"/>
      <c r="G13" s="16"/>
      <c r="H13" s="16"/>
      <c r="I13" s="16"/>
      <c r="J13" s="16"/>
      <c r="K13" s="16"/>
      <c r="L13" s="3"/>
      <c r="M13" s="3"/>
      <c r="N13" s="3"/>
      <c r="O13" s="3"/>
      <c r="P13" s="3"/>
      <c r="Q13" s="3"/>
      <c r="R13" s="3"/>
      <c r="S13" s="3"/>
      <c r="T13" s="3"/>
    </row>
    <row r="14" spans="5:21">
      <c r="E14" s="52" t="s">
        <v>40</v>
      </c>
      <c r="F14" s="40" t="s">
        <v>18</v>
      </c>
      <c r="G14" s="41" t="s">
        <v>32</v>
      </c>
      <c r="H14" s="48" t="s">
        <v>20</v>
      </c>
      <c r="I14" s="254" t="s">
        <v>33</v>
      </c>
      <c r="J14" s="255"/>
      <c r="K14" s="257" t="s">
        <v>34</v>
      </c>
      <c r="L14" s="257"/>
      <c r="M14" s="254" t="s">
        <v>126</v>
      </c>
      <c r="N14" s="255"/>
      <c r="O14" s="254" t="s">
        <v>127</v>
      </c>
      <c r="P14" s="255"/>
      <c r="Q14" s="254" t="s">
        <v>128</v>
      </c>
      <c r="R14" s="255"/>
      <c r="S14" s="258" t="s">
        <v>129</v>
      </c>
      <c r="T14" s="259"/>
      <c r="U14" s="94" t="s">
        <v>22</v>
      </c>
    </row>
    <row r="15" spans="5:21" ht="13.5" thickBot="1">
      <c r="E15" s="91"/>
      <c r="F15" s="66"/>
      <c r="G15" s="67"/>
      <c r="H15" s="53"/>
      <c r="I15" s="79" t="s">
        <v>35</v>
      </c>
      <c r="J15" s="67" t="s">
        <v>36</v>
      </c>
      <c r="K15" s="84" t="s">
        <v>35</v>
      </c>
      <c r="L15" s="63" t="s">
        <v>36</v>
      </c>
      <c r="M15" s="79" t="s">
        <v>35</v>
      </c>
      <c r="N15" s="67" t="s">
        <v>36</v>
      </c>
      <c r="O15" s="79" t="s">
        <v>35</v>
      </c>
      <c r="P15" s="67" t="s">
        <v>36</v>
      </c>
      <c r="Q15" s="79" t="s">
        <v>35</v>
      </c>
      <c r="R15" s="67" t="s">
        <v>36</v>
      </c>
      <c r="S15" s="79" t="s">
        <v>35</v>
      </c>
      <c r="T15" s="67" t="s">
        <v>36</v>
      </c>
      <c r="U15" s="54" t="s">
        <v>35</v>
      </c>
    </row>
    <row r="16" spans="5:21">
      <c r="E16" s="57"/>
      <c r="F16" s="68"/>
      <c r="G16" s="69"/>
      <c r="H16" s="55"/>
      <c r="I16" s="80"/>
      <c r="J16" s="69"/>
      <c r="K16" s="85"/>
      <c r="L16" s="64"/>
      <c r="M16" s="80"/>
      <c r="N16" s="69"/>
      <c r="O16" s="80"/>
      <c r="P16" s="69"/>
      <c r="Q16" s="159"/>
      <c r="R16" s="160"/>
      <c r="S16" s="80"/>
      <c r="T16" s="69"/>
      <c r="U16" s="56"/>
    </row>
    <row r="17" spans="5:24">
      <c r="E17" s="238" t="str">
        <f>'Planilha orçamentária'!E17</f>
        <v>1.0</v>
      </c>
      <c r="F17" s="239" t="str">
        <f>'Planilha orçamentária'!F17</f>
        <v>Administração da obra.</v>
      </c>
      <c r="G17" s="237">
        <f>'Planilha orçamentária'!L23</f>
        <v>161939.16470600001</v>
      </c>
      <c r="H17" s="55"/>
      <c r="I17" s="81">
        <v>15</v>
      </c>
      <c r="J17" s="240">
        <f>G17*I17/100</f>
        <v>24290.874705900002</v>
      </c>
      <c r="K17" s="242">
        <v>15</v>
      </c>
      <c r="L17" s="241">
        <f>G17*K17/100</f>
        <v>24290.874705900002</v>
      </c>
      <c r="M17" s="243">
        <v>15</v>
      </c>
      <c r="N17" s="240">
        <f>G17*M17/100</f>
        <v>24290.874705900002</v>
      </c>
      <c r="O17" s="243">
        <v>15</v>
      </c>
      <c r="P17" s="240">
        <f>G17*O17/100</f>
        <v>24290.874705900002</v>
      </c>
      <c r="Q17" s="243">
        <v>15</v>
      </c>
      <c r="R17" s="240">
        <f>G17*Q17/100</f>
        <v>24290.874705900002</v>
      </c>
      <c r="S17" s="243">
        <v>25</v>
      </c>
      <c r="T17" s="240">
        <f>G17*S17/100</f>
        <v>40484.791176500003</v>
      </c>
      <c r="U17" s="49">
        <f>I17+K17+M17+O17+Q17+S17</f>
        <v>100</v>
      </c>
    </row>
    <row r="18" spans="5:24">
      <c r="E18" s="58" t="str">
        <f>'Planilha orçamentária'!E24</f>
        <v>2.0</v>
      </c>
      <c r="F18" s="110" t="str">
        <f>'Planilha orçamentária'!F24</f>
        <v>Serviços Preliminares</v>
      </c>
      <c r="G18" s="70">
        <f>'Planilha orçamentária'!L35</f>
        <v>100732.92253209002</v>
      </c>
      <c r="H18" s="42"/>
      <c r="I18" s="81">
        <v>100</v>
      </c>
      <c r="J18" s="92">
        <f>G18*I18/100</f>
        <v>100732.92253209003</v>
      </c>
      <c r="K18" s="81"/>
      <c r="L18" s="86">
        <f>G18*K18/100</f>
        <v>0</v>
      </c>
      <c r="M18" s="81"/>
      <c r="N18" s="92">
        <f>G18*M18/100</f>
        <v>0</v>
      </c>
      <c r="O18" s="81"/>
      <c r="P18" s="92">
        <f>G18*O18/100</f>
        <v>0</v>
      </c>
      <c r="Q18" s="81"/>
      <c r="R18" s="92">
        <f>G18*Q18/100</f>
        <v>0</v>
      </c>
      <c r="S18" s="81"/>
      <c r="T18" s="92">
        <f>G18*S18/100</f>
        <v>0</v>
      </c>
      <c r="U18" s="49">
        <f>I18+K18+M18+O18+Q18+S18</f>
        <v>100</v>
      </c>
    </row>
    <row r="19" spans="5:24">
      <c r="E19" s="59" t="str">
        <f>'Planilha orçamentária'!E36</f>
        <v>3.0</v>
      </c>
      <c r="F19" s="111" t="str">
        <f>'Planilha orçamentária'!F36</f>
        <v>Estrutura Pilares e laje (Laje para piso será executada sobre vigas já existentes)</v>
      </c>
      <c r="G19" s="71">
        <f>'Planilha orçamentária'!L50</f>
        <v>588056.3123777553</v>
      </c>
      <c r="H19" s="43"/>
      <c r="I19" s="82">
        <v>30</v>
      </c>
      <c r="J19" s="92">
        <f t="shared" ref="J19:J30" si="0">G19*I19/100</f>
        <v>176416.8937133266</v>
      </c>
      <c r="K19" s="82">
        <v>25</v>
      </c>
      <c r="L19" s="86">
        <f t="shared" ref="L19:L30" si="1">G19*K19/100</f>
        <v>147014.07809443882</v>
      </c>
      <c r="M19" s="82">
        <v>45</v>
      </c>
      <c r="N19" s="92">
        <f t="shared" ref="N19:N30" si="2">G19*M19/100</f>
        <v>264625.34056998987</v>
      </c>
      <c r="O19" s="82"/>
      <c r="P19" s="92">
        <f t="shared" ref="P19:P30" si="3">G19*O19/100</f>
        <v>0</v>
      </c>
      <c r="Q19" s="82"/>
      <c r="R19" s="92">
        <f t="shared" ref="R19:R30" si="4">G19*Q19/100</f>
        <v>0</v>
      </c>
      <c r="S19" s="82"/>
      <c r="T19" s="92">
        <f t="shared" ref="T19:T30" si="5">G19*S19/100</f>
        <v>0</v>
      </c>
      <c r="U19" s="49">
        <f t="shared" ref="U19:U30" si="6">I19+K19+M19+O19+Q19+S19</f>
        <v>100</v>
      </c>
    </row>
    <row r="20" spans="5:24">
      <c r="E20" s="59" t="str">
        <f>'Planilha orçamentária'!E51</f>
        <v>4.0</v>
      </c>
      <c r="F20" s="111" t="str">
        <f>'Planilha orçamentária'!F51</f>
        <v>Alvenaria</v>
      </c>
      <c r="G20" s="71">
        <f>'Planilha orçamentária'!L58</f>
        <v>127303.41828500001</v>
      </c>
      <c r="H20" s="43"/>
      <c r="I20" s="82">
        <v>30</v>
      </c>
      <c r="J20" s="92">
        <f t="shared" si="0"/>
        <v>38191.025485500002</v>
      </c>
      <c r="K20" s="82">
        <v>20</v>
      </c>
      <c r="L20" s="86">
        <f t="shared" si="1"/>
        <v>25460.683657000001</v>
      </c>
      <c r="M20" s="82">
        <v>40</v>
      </c>
      <c r="N20" s="92">
        <f t="shared" si="2"/>
        <v>50921.367314000003</v>
      </c>
      <c r="O20" s="82">
        <v>10</v>
      </c>
      <c r="P20" s="92">
        <f t="shared" si="3"/>
        <v>12730.341828500001</v>
      </c>
      <c r="Q20" s="82"/>
      <c r="R20" s="92">
        <f t="shared" si="4"/>
        <v>0</v>
      </c>
      <c r="S20" s="82"/>
      <c r="T20" s="92">
        <f t="shared" si="5"/>
        <v>0</v>
      </c>
      <c r="U20" s="49">
        <f t="shared" si="6"/>
        <v>100</v>
      </c>
    </row>
    <row r="21" spans="5:24">
      <c r="E21" s="59" t="str">
        <f>'Planilha orçamentária'!E59</f>
        <v>5.0</v>
      </c>
      <c r="F21" s="111" t="str">
        <f>'Planilha orçamentária'!F59</f>
        <v>Cobertura</v>
      </c>
      <c r="G21" s="71">
        <f>'Planilha orçamentária'!L68</f>
        <v>447918.49691124004</v>
      </c>
      <c r="H21" s="43"/>
      <c r="I21" s="82"/>
      <c r="J21" s="92">
        <f t="shared" si="0"/>
        <v>0</v>
      </c>
      <c r="K21" s="82">
        <v>20</v>
      </c>
      <c r="L21" s="86">
        <f t="shared" si="1"/>
        <v>89583.699382248</v>
      </c>
      <c r="M21" s="82">
        <v>10</v>
      </c>
      <c r="N21" s="92">
        <f t="shared" si="2"/>
        <v>44791.849691124</v>
      </c>
      <c r="O21" s="82">
        <v>50</v>
      </c>
      <c r="P21" s="92">
        <f t="shared" si="3"/>
        <v>223959.24845562002</v>
      </c>
      <c r="Q21" s="82">
        <v>20</v>
      </c>
      <c r="R21" s="92">
        <f t="shared" si="4"/>
        <v>89583.699382248</v>
      </c>
      <c r="S21" s="82"/>
      <c r="T21" s="92">
        <f t="shared" si="5"/>
        <v>0</v>
      </c>
      <c r="U21" s="49">
        <f t="shared" si="6"/>
        <v>100</v>
      </c>
    </row>
    <row r="22" spans="5:24">
      <c r="E22" s="59" t="str">
        <f>'Planilha orçamentária'!E69</f>
        <v>6.0</v>
      </c>
      <c r="F22" s="111" t="str">
        <f>'Planilha orçamentária'!F69</f>
        <v>Impermeabilização</v>
      </c>
      <c r="G22" s="71">
        <f>'Planilha orçamentária'!L72</f>
        <v>62784.742356623334</v>
      </c>
      <c r="H22" s="43"/>
      <c r="I22" s="82">
        <v>30</v>
      </c>
      <c r="J22" s="92">
        <f t="shared" si="0"/>
        <v>18835.422706986999</v>
      </c>
      <c r="K22" s="82">
        <v>70</v>
      </c>
      <c r="L22" s="86">
        <f t="shared" si="1"/>
        <v>43949.319649636338</v>
      </c>
      <c r="M22" s="82"/>
      <c r="N22" s="92">
        <f t="shared" si="2"/>
        <v>0</v>
      </c>
      <c r="O22" s="82"/>
      <c r="P22" s="92">
        <f t="shared" si="3"/>
        <v>0</v>
      </c>
      <c r="Q22" s="82"/>
      <c r="R22" s="92">
        <f t="shared" si="4"/>
        <v>0</v>
      </c>
      <c r="S22" s="82"/>
      <c r="T22" s="92">
        <f t="shared" si="5"/>
        <v>0</v>
      </c>
      <c r="U22" s="49">
        <f t="shared" si="6"/>
        <v>100</v>
      </c>
    </row>
    <row r="23" spans="5:24">
      <c r="E23" s="59" t="str">
        <f>'Planilha orçamentária'!E73</f>
        <v>7.0</v>
      </c>
      <c r="F23" s="111" t="str">
        <f>'Planilha orçamentária'!F73</f>
        <v>Esquadrias</v>
      </c>
      <c r="G23" s="71">
        <f>'Planilha orçamentária'!L82</f>
        <v>382138.72094725003</v>
      </c>
      <c r="H23" s="43"/>
      <c r="I23" s="82"/>
      <c r="J23" s="92">
        <f t="shared" ref="J23" si="7">G23*I23/100</f>
        <v>0</v>
      </c>
      <c r="K23" s="82"/>
      <c r="L23" s="86">
        <f t="shared" ref="L23" si="8">G23*K23/100</f>
        <v>0</v>
      </c>
      <c r="M23" s="82"/>
      <c r="N23" s="92">
        <f t="shared" ref="N23" si="9">G23*M23/100</f>
        <v>0</v>
      </c>
      <c r="O23" s="82"/>
      <c r="P23" s="92">
        <f t="shared" ref="P23" si="10">G23*O23/100</f>
        <v>0</v>
      </c>
      <c r="Q23" s="82">
        <v>50</v>
      </c>
      <c r="R23" s="92">
        <f t="shared" si="4"/>
        <v>191069.36047362501</v>
      </c>
      <c r="S23" s="82">
        <v>50</v>
      </c>
      <c r="T23" s="92">
        <f t="shared" si="5"/>
        <v>191069.36047362501</v>
      </c>
      <c r="U23" s="49">
        <f t="shared" si="6"/>
        <v>100</v>
      </c>
    </row>
    <row r="24" spans="5:24">
      <c r="E24" s="59" t="str">
        <f>'Planilha orçamentária'!E83</f>
        <v>8.0</v>
      </c>
      <c r="F24" s="111" t="str">
        <f>'Planilha orçamentária'!F83</f>
        <v>Piso</v>
      </c>
      <c r="G24" s="71">
        <f>'Planilha orçamentária'!L89</f>
        <v>183833.53182711001</v>
      </c>
      <c r="H24" s="43"/>
      <c r="I24" s="82">
        <v>80</v>
      </c>
      <c r="J24" s="92">
        <f t="shared" si="0"/>
        <v>147066.82546168801</v>
      </c>
      <c r="K24" s="82">
        <v>20</v>
      </c>
      <c r="L24" s="86">
        <f t="shared" si="1"/>
        <v>36766.706365422004</v>
      </c>
      <c r="M24" s="82"/>
      <c r="N24" s="92">
        <f t="shared" si="2"/>
        <v>0</v>
      </c>
      <c r="O24" s="82"/>
      <c r="P24" s="92">
        <f t="shared" si="3"/>
        <v>0</v>
      </c>
      <c r="Q24" s="82"/>
      <c r="R24" s="92">
        <f t="shared" si="4"/>
        <v>0</v>
      </c>
      <c r="S24" s="82"/>
      <c r="T24" s="92">
        <f t="shared" si="5"/>
        <v>0</v>
      </c>
      <c r="U24" s="49">
        <f t="shared" si="6"/>
        <v>100</v>
      </c>
    </row>
    <row r="25" spans="5:24">
      <c r="E25" s="59" t="str">
        <f>'Planilha orçamentária'!E90</f>
        <v>9.0</v>
      </c>
      <c r="F25" s="111" t="str">
        <f>'Planilha orçamentária'!F90</f>
        <v>Revestimento</v>
      </c>
      <c r="G25" s="71">
        <f>'Planilha orçamentária'!L95</f>
        <v>128472.01966993998</v>
      </c>
      <c r="H25" s="43"/>
      <c r="I25" s="82"/>
      <c r="J25" s="92">
        <f t="shared" si="0"/>
        <v>0</v>
      </c>
      <c r="K25" s="82"/>
      <c r="L25" s="86">
        <f t="shared" si="1"/>
        <v>0</v>
      </c>
      <c r="M25" s="82">
        <v>40</v>
      </c>
      <c r="N25" s="92">
        <f t="shared" si="2"/>
        <v>51388.807867975993</v>
      </c>
      <c r="O25" s="82"/>
      <c r="P25" s="92">
        <f t="shared" si="3"/>
        <v>0</v>
      </c>
      <c r="Q25" s="82"/>
      <c r="R25" s="92">
        <f t="shared" si="4"/>
        <v>0</v>
      </c>
      <c r="S25" s="82">
        <v>60</v>
      </c>
      <c r="T25" s="92">
        <f t="shared" si="5"/>
        <v>77083.211801963989</v>
      </c>
      <c r="U25" s="49">
        <f t="shared" si="6"/>
        <v>100</v>
      </c>
    </row>
    <row r="26" spans="5:24">
      <c r="E26" s="59" t="str">
        <f>'Planilha orçamentária'!E96</f>
        <v>10.0</v>
      </c>
      <c r="F26" s="111" t="str">
        <f>'Planilha orçamentária'!F96</f>
        <v>Pintura ( Paredes internas e forro )</v>
      </c>
      <c r="G26" s="71">
        <f>'Planilha orçamentária'!L102</f>
        <v>45931.224756199998</v>
      </c>
      <c r="H26" s="43"/>
      <c r="I26" s="82"/>
      <c r="J26" s="92">
        <f t="shared" si="0"/>
        <v>0</v>
      </c>
      <c r="K26" s="82"/>
      <c r="L26" s="86">
        <f t="shared" si="1"/>
        <v>0</v>
      </c>
      <c r="M26" s="82"/>
      <c r="N26" s="92">
        <f t="shared" si="2"/>
        <v>0</v>
      </c>
      <c r="O26" s="82"/>
      <c r="P26" s="92">
        <f t="shared" si="3"/>
        <v>0</v>
      </c>
      <c r="Q26" s="82"/>
      <c r="R26" s="92">
        <f t="shared" si="4"/>
        <v>0</v>
      </c>
      <c r="S26" s="82">
        <v>100</v>
      </c>
      <c r="T26" s="92">
        <f t="shared" si="5"/>
        <v>45931.224756199998</v>
      </c>
      <c r="U26" s="49">
        <f t="shared" si="6"/>
        <v>100</v>
      </c>
    </row>
    <row r="27" spans="5:24">
      <c r="E27" s="59" t="str">
        <f>'Planilha orçamentária'!E103</f>
        <v>11.0</v>
      </c>
      <c r="F27" s="111" t="str">
        <f>'Planilha orçamentária'!F103</f>
        <v>Instalação Hidráulica e Sanitária</v>
      </c>
      <c r="G27" s="71">
        <f>'Planilha orçamentária'!L145</f>
        <v>49805.757368999999</v>
      </c>
      <c r="H27" s="43"/>
      <c r="I27" s="82">
        <v>20</v>
      </c>
      <c r="J27" s="92">
        <f t="shared" si="0"/>
        <v>9961.1514738000005</v>
      </c>
      <c r="K27" s="82">
        <v>20</v>
      </c>
      <c r="L27" s="86">
        <f t="shared" si="1"/>
        <v>9961.1514738000005</v>
      </c>
      <c r="M27" s="82">
        <v>10</v>
      </c>
      <c r="N27" s="92">
        <f t="shared" si="2"/>
        <v>4980.5757369000003</v>
      </c>
      <c r="O27" s="82">
        <v>10</v>
      </c>
      <c r="P27" s="92">
        <f t="shared" si="3"/>
        <v>4980.5757369000003</v>
      </c>
      <c r="Q27" s="82"/>
      <c r="R27" s="92">
        <f t="shared" si="4"/>
        <v>0</v>
      </c>
      <c r="S27" s="82">
        <v>40</v>
      </c>
      <c r="T27" s="92">
        <f t="shared" si="5"/>
        <v>19922.302947600001</v>
      </c>
      <c r="U27" s="49">
        <f t="shared" si="6"/>
        <v>100</v>
      </c>
    </row>
    <row r="28" spans="5:24">
      <c r="E28" s="59" t="str">
        <f>'Planilha orçamentária'!E146</f>
        <v>12.0</v>
      </c>
      <c r="F28" s="111" t="str">
        <f>'Planilha orçamentária'!F146</f>
        <v>Instalação Elétrica</v>
      </c>
      <c r="G28" s="71">
        <f>'Planilha orçamentária'!L160</f>
        <v>126912.30079244003</v>
      </c>
      <c r="H28" s="43"/>
      <c r="I28" s="82">
        <v>20</v>
      </c>
      <c r="J28" s="92">
        <f t="shared" si="0"/>
        <v>25382.460158488004</v>
      </c>
      <c r="K28" s="82">
        <v>20</v>
      </c>
      <c r="L28" s="86">
        <f t="shared" si="1"/>
        <v>25382.460158488004</v>
      </c>
      <c r="M28" s="82">
        <v>10</v>
      </c>
      <c r="N28" s="92">
        <f t="shared" si="2"/>
        <v>12691.230079244002</v>
      </c>
      <c r="O28" s="82">
        <v>10</v>
      </c>
      <c r="P28" s="92">
        <f t="shared" si="3"/>
        <v>12691.230079244002</v>
      </c>
      <c r="Q28" s="82"/>
      <c r="R28" s="92">
        <f t="shared" si="4"/>
        <v>0</v>
      </c>
      <c r="S28" s="82">
        <v>40</v>
      </c>
      <c r="T28" s="92">
        <f t="shared" si="5"/>
        <v>50764.920316976008</v>
      </c>
      <c r="U28" s="49">
        <f t="shared" si="6"/>
        <v>100</v>
      </c>
    </row>
    <row r="29" spans="5:24">
      <c r="E29" s="169" t="str">
        <f>'Planilha orçamentária'!E161</f>
        <v>13.0</v>
      </c>
      <c r="F29" s="111" t="str">
        <f>'Planilha orçamentária'!F161</f>
        <v>Instalação de rede de telefone e internet.</v>
      </c>
      <c r="G29" s="71">
        <f>'Planilha orçamentária'!L170</f>
        <v>45904.062304999999</v>
      </c>
      <c r="H29" s="43"/>
      <c r="I29" s="82">
        <v>10</v>
      </c>
      <c r="J29" s="92">
        <f t="shared" ref="J29" si="11">G29*I29/100</f>
        <v>4590.4062304999998</v>
      </c>
      <c r="K29" s="82">
        <v>20</v>
      </c>
      <c r="L29" s="86">
        <f t="shared" ref="L29" si="12">G29*K29/100</f>
        <v>9180.8124609999995</v>
      </c>
      <c r="M29" s="82">
        <v>10</v>
      </c>
      <c r="N29" s="92">
        <f t="shared" ref="N29" si="13">G29*M29/100</f>
        <v>4590.4062304999998</v>
      </c>
      <c r="O29" s="82">
        <v>10</v>
      </c>
      <c r="P29" s="92">
        <f t="shared" ref="P29" si="14">G29*O29/100</f>
        <v>4590.4062304999998</v>
      </c>
      <c r="Q29" s="82">
        <v>10</v>
      </c>
      <c r="R29" s="92">
        <f t="shared" ref="R29" si="15">G29*Q29/100</f>
        <v>4590.4062304999998</v>
      </c>
      <c r="S29" s="82">
        <v>40</v>
      </c>
      <c r="T29" s="92">
        <f t="shared" ref="T29" si="16">G29*S29/100</f>
        <v>18361.624921999999</v>
      </c>
      <c r="U29" s="49">
        <f t="shared" ref="U29" si="17">I29+K29+M29+O29+Q29+S29</f>
        <v>100</v>
      </c>
    </row>
    <row r="30" spans="5:24">
      <c r="E30" s="113" t="str">
        <f>'Planilha orçamentária'!E171</f>
        <v>14.0</v>
      </c>
      <c r="F30" s="112" t="str">
        <f>'Planilha orçamentária'!F171</f>
        <v>Limpeza</v>
      </c>
      <c r="G30" s="73">
        <f>'Planilha orçamentária'!L174</f>
        <v>4046.8736153499999</v>
      </c>
      <c r="H30" s="44"/>
      <c r="I30" s="83"/>
      <c r="J30" s="92">
        <f t="shared" si="0"/>
        <v>0</v>
      </c>
      <c r="K30" s="83"/>
      <c r="L30" s="86">
        <f t="shared" si="1"/>
        <v>0</v>
      </c>
      <c r="M30" s="83"/>
      <c r="N30" s="92">
        <f t="shared" si="2"/>
        <v>0</v>
      </c>
      <c r="O30" s="83"/>
      <c r="P30" s="92">
        <f t="shared" si="3"/>
        <v>0</v>
      </c>
      <c r="Q30" s="83"/>
      <c r="R30" s="92">
        <f t="shared" si="4"/>
        <v>0</v>
      </c>
      <c r="S30" s="83">
        <v>100</v>
      </c>
      <c r="T30" s="92">
        <f t="shared" si="5"/>
        <v>4046.8736153499999</v>
      </c>
      <c r="U30" s="49">
        <f t="shared" si="6"/>
        <v>100</v>
      </c>
    </row>
    <row r="31" spans="5:24">
      <c r="E31" s="60"/>
      <c r="F31" s="74"/>
      <c r="G31" s="75"/>
      <c r="H31" s="45"/>
      <c r="I31" s="60"/>
      <c r="J31" s="75"/>
      <c r="K31" s="89"/>
      <c r="L31" s="88"/>
      <c r="M31" s="60"/>
      <c r="N31" s="75"/>
      <c r="O31" s="60"/>
      <c r="P31" s="75"/>
      <c r="Q31" s="60"/>
      <c r="R31" s="75"/>
      <c r="S31" s="60"/>
      <c r="T31" s="75"/>
      <c r="U31" s="50"/>
    </row>
    <row r="32" spans="5:24">
      <c r="E32" s="61"/>
      <c r="F32" s="72" t="s">
        <v>7</v>
      </c>
      <c r="G32" s="76">
        <f>SUM(G17:G31)</f>
        <v>2455779.5484509985</v>
      </c>
      <c r="H32" s="46"/>
      <c r="I32" s="83">
        <f>(J18+J19+J20+J21+J22+J24+J25+J29+J26+J27+J28+J30+J23+J17)*100/$G$32</f>
        <v>22.211602129040358</v>
      </c>
      <c r="J32" s="93">
        <f>SUM(J17:J31)</f>
        <v>545467.98246827954</v>
      </c>
      <c r="K32" s="83">
        <f>(L18+L19+L20+L21+L22+L24+L25+L29+L26+L27+L28+L30+L23+L17)*100/$G$32</f>
        <v>16.760046161616849</v>
      </c>
      <c r="L32" s="87">
        <f>SUM(L17:L31)</f>
        <v>411589.78594793315</v>
      </c>
      <c r="M32" s="83">
        <f>(N18+N19+N20+N21+N22+N24+N25+N29+N26+N27+N28+N30+N23+N17)*100/$G$32</f>
        <v>18.661302578429638</v>
      </c>
      <c r="N32" s="93">
        <f>SUM(N17:N31)</f>
        <v>458280.45219563384</v>
      </c>
      <c r="O32" s="83">
        <f>(P18+P19+P20+P21+P22+P24+P25+P29+P26+P27+P28+P30+P23+P17)*100/$G$32</f>
        <v>11.533717560899206</v>
      </c>
      <c r="P32" s="93">
        <f>SUM(P17:P31)</f>
        <v>283242.67703666404</v>
      </c>
      <c r="Q32" s="83">
        <f>(R18+R19+R20+R21+R22+R24+R25+R29+R26+R27+R28+R30+R23+R17)*100/$G$32</f>
        <v>12.604321140613544</v>
      </c>
      <c r="R32" s="93">
        <f>SUM(R17:R31)</f>
        <v>309534.34079227305</v>
      </c>
      <c r="S32" s="83">
        <f>(T18+T19+T20+T21+T22+T24+T25+T29+T26+T27+T28+T30+T23+T17)*100/$G$32</f>
        <v>18.229010429400418</v>
      </c>
      <c r="T32" s="93">
        <f>SUM(T17:T31)</f>
        <v>447664.31001021503</v>
      </c>
      <c r="U32" s="115">
        <f>I32+K32+M32+O32+Q32+S32</f>
        <v>100.00000000000001</v>
      </c>
      <c r="W32" s="19"/>
      <c r="X32" s="133"/>
    </row>
    <row r="33" spans="5:23" ht="13.5" thickBot="1">
      <c r="E33" s="62"/>
      <c r="F33" s="77"/>
      <c r="G33" s="78"/>
      <c r="H33" s="47"/>
      <c r="I33" s="62"/>
      <c r="J33" s="78"/>
      <c r="K33" s="90"/>
      <c r="L33" s="65"/>
      <c r="M33" s="62"/>
      <c r="N33" s="78"/>
      <c r="O33" s="62"/>
      <c r="P33" s="78"/>
      <c r="Q33" s="62"/>
      <c r="R33" s="78"/>
      <c r="S33" s="62"/>
      <c r="T33" s="78"/>
      <c r="U33" s="51"/>
    </row>
    <row r="34" spans="5:23" ht="9" customHeight="1">
      <c r="W34" s="38"/>
    </row>
  </sheetData>
  <mergeCells count="8">
    <mergeCell ref="O14:P14"/>
    <mergeCell ref="F4:P4"/>
    <mergeCell ref="I14:J14"/>
    <mergeCell ref="K14:L14"/>
    <mergeCell ref="M14:N14"/>
    <mergeCell ref="E5:U5"/>
    <mergeCell ref="Q14:R14"/>
    <mergeCell ref="S14:T14"/>
  </mergeCells>
  <phoneticPr fontId="0" type="noConversion"/>
  <pageMargins left="0.39370078740157483" right="0.19685039370078741" top="0.51181102362204722" bottom="0.98425196850393704" header="0.51181102362204722" footer="0.51181102362204722"/>
  <pageSetup paperSize="9" scale="75" orientation="landscape" horizontalDpi="4294967293" verticalDpi="4294967293" r:id="rId1"/>
  <headerFooter alignWithMargins="0">
    <oddFooter>&amp;C___________________________________________
Engº Civil Antonio Fernandes Cruz.
CREA:8551/D.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J1:R27"/>
  <sheetViews>
    <sheetView view="pageBreakPreview" topLeftCell="A14" workbookViewId="0">
      <selection activeCell="K27" sqref="K27"/>
    </sheetView>
  </sheetViews>
  <sheetFormatPr defaultRowHeight="12.75"/>
  <cols>
    <col min="9" max="9" width="0.85546875" customWidth="1"/>
    <col min="10" max="10" width="13.28515625" customWidth="1"/>
    <col min="11" max="11" width="32.28515625" customWidth="1"/>
    <col min="12" max="12" width="10.7109375" customWidth="1"/>
    <col min="13" max="13" width="10.7109375" style="1" hidden="1" customWidth="1"/>
    <col min="14" max="14" width="8.85546875" style="1" customWidth="1"/>
    <col min="15" max="15" width="11.7109375" style="1" customWidth="1"/>
    <col min="16" max="16" width="9.5703125" style="1" customWidth="1"/>
    <col min="17" max="17" width="10" style="19" customWidth="1"/>
    <col min="18" max="18" width="1.140625" customWidth="1"/>
    <col min="19" max="19" width="12.7109375" customWidth="1"/>
  </cols>
  <sheetData>
    <row r="1" spans="10:17">
      <c r="M1"/>
      <c r="N1"/>
      <c r="O1"/>
      <c r="P1"/>
    </row>
    <row r="2" spans="10:17" ht="5.25" customHeight="1">
      <c r="K2" s="12"/>
      <c r="M2"/>
      <c r="N2"/>
      <c r="O2"/>
      <c r="P2"/>
    </row>
    <row r="3" spans="10:17" ht="20.25">
      <c r="J3" s="9"/>
      <c r="K3" s="20"/>
      <c r="L3" s="10"/>
      <c r="M3" s="10"/>
      <c r="N3" s="10"/>
      <c r="O3" s="10"/>
      <c r="P3" s="11"/>
      <c r="Q3" s="22"/>
    </row>
    <row r="4" spans="10:17" ht="13.5" customHeight="1">
      <c r="J4" s="261"/>
      <c r="K4" s="256"/>
      <c r="L4" s="256"/>
      <c r="M4" s="256"/>
      <c r="N4" s="256"/>
      <c r="O4" s="256"/>
      <c r="P4" s="256"/>
      <c r="Q4" s="262"/>
    </row>
    <row r="5" spans="10:17" ht="15.75" customHeight="1">
      <c r="J5" s="263" t="str">
        <f>'Planilha orçamentária'!E5</f>
        <v>CNPJ 10.716.738/0001-03</v>
      </c>
      <c r="K5" s="264"/>
      <c r="L5" s="264"/>
      <c r="M5" s="264"/>
      <c r="N5" s="264"/>
      <c r="O5" s="264"/>
      <c r="P5" s="264"/>
      <c r="Q5" s="265"/>
    </row>
    <row r="6" spans="10:17" ht="7.5" customHeight="1">
      <c r="J6" s="7"/>
      <c r="K6" s="13"/>
      <c r="L6" s="12"/>
      <c r="M6" s="14"/>
      <c r="N6" s="14"/>
      <c r="O6" s="14"/>
      <c r="P6" s="14"/>
      <c r="Q6" s="24"/>
    </row>
    <row r="7" spans="10:17">
      <c r="K7" s="8"/>
    </row>
    <row r="13" spans="10:17" ht="33">
      <c r="K13" s="266" t="str">
        <f>'Planilha orçamentária'!E8</f>
        <v xml:space="preserve">Planilha orçamentária </v>
      </c>
      <c r="L13" s="266"/>
      <c r="M13" s="266"/>
      <c r="N13" s="266"/>
      <c r="O13" s="266"/>
      <c r="P13" s="266"/>
    </row>
    <row r="14" spans="10:17">
      <c r="K14" s="15"/>
      <c r="L14" s="15"/>
      <c r="M14" s="134"/>
      <c r="N14" s="134"/>
      <c r="O14" s="134"/>
      <c r="P14" s="134"/>
    </row>
    <row r="15" spans="10:17" ht="33">
      <c r="K15" s="266" t="str">
        <f>'cronograma físico-financeiro'!E8</f>
        <v>Cronograma Físico-financeiro.</v>
      </c>
      <c r="L15" s="266"/>
      <c r="M15" s="266"/>
      <c r="N15" s="266"/>
      <c r="O15" s="266"/>
      <c r="P15" s="266"/>
    </row>
    <row r="17" spans="10:18">
      <c r="N17" s="1" t="s">
        <v>42</v>
      </c>
    </row>
    <row r="21" spans="10:18" ht="20.25" customHeight="1">
      <c r="K21" s="260" t="str">
        <f>'cronograma físico-financeiro'!E9</f>
        <v>Obra: Câmara Municipal de Alta Floresta.</v>
      </c>
      <c r="L21" s="260"/>
      <c r="M21" s="260"/>
      <c r="N21" s="260"/>
      <c r="O21" s="260"/>
      <c r="P21" s="260"/>
      <c r="Q21" s="106"/>
    </row>
    <row r="22" spans="10:18" ht="20.25" customHeight="1">
      <c r="J22" s="106"/>
      <c r="K22" s="260"/>
      <c r="L22" s="260"/>
      <c r="M22" s="260"/>
      <c r="N22" s="260"/>
      <c r="O22" s="260"/>
      <c r="P22" s="260"/>
      <c r="Q22" s="106"/>
    </row>
    <row r="25" spans="10:18" ht="15">
      <c r="K25" s="98" t="str">
        <f>'Planilha orçamentária'!E10</f>
        <v>Endereço:  Avenida Ariosto da Riva, Lote AC 18/2, Canteiro Central, Alta Floresta MT.</v>
      </c>
      <c r="L25" s="135"/>
      <c r="M25" s="135"/>
      <c r="N25" s="135"/>
      <c r="O25" s="135"/>
      <c r="P25" s="135"/>
      <c r="Q25" s="135"/>
    </row>
    <row r="26" spans="10:18" ht="15">
      <c r="J26" s="105"/>
      <c r="K26" s="136"/>
      <c r="L26" s="105"/>
      <c r="M26" s="105"/>
      <c r="N26" s="105"/>
      <c r="O26" s="105"/>
      <c r="P26" s="105"/>
      <c r="Q26" s="105"/>
    </row>
    <row r="27" spans="10:18" ht="15">
      <c r="K27" s="98" t="str">
        <f>'cronograma físico-financeiro'!E11</f>
        <v>Ampliação do pavimento superior a ser construído com área de 642,89m²</v>
      </c>
      <c r="L27" s="135"/>
      <c r="M27" s="135"/>
      <c r="N27" s="135"/>
      <c r="O27" s="135"/>
      <c r="P27" s="135"/>
      <c r="Q27" s="135"/>
      <c r="R27" s="135"/>
    </row>
  </sheetData>
  <mergeCells count="5">
    <mergeCell ref="K21:P22"/>
    <mergeCell ref="J4:Q4"/>
    <mergeCell ref="J5:Q5"/>
    <mergeCell ref="K13:P13"/>
    <mergeCell ref="K15:P15"/>
  </mergeCells>
  <phoneticPr fontId="11" type="noConversion"/>
  <printOptions horizontalCentered="1"/>
  <pageMargins left="0.62992125984251968" right="0.31496062992125984" top="0.19685039370078741" bottom="0.98425196850393704" header="0.47244094488188981" footer="0.51181102362204722"/>
  <pageSetup paperSize="9" scale="94" orientation="portrait" horizontalDpi="4294967293" verticalDpi="4294967293" r:id="rId1"/>
  <headerFooter alignWithMargins="0">
    <oddFooter>&amp;C__________________________________________________
Engº Civil Antonio Fernandes Cruz
Crea: 12010040-20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E2:J46"/>
  <sheetViews>
    <sheetView tabSelected="1" view="pageBreakPreview" zoomScaleNormal="100" zoomScaleSheetLayoutView="100" workbookViewId="0">
      <selection activeCell="J17" sqref="J17"/>
    </sheetView>
  </sheetViews>
  <sheetFormatPr defaultRowHeight="12.75"/>
  <cols>
    <col min="4" max="4" width="0.85546875" customWidth="1"/>
    <col min="5" max="5" width="5.140625" customWidth="1"/>
    <col min="6" max="6" width="77.28515625" customWidth="1"/>
    <col min="7" max="7" width="14.7109375" style="162" customWidth="1"/>
    <col min="8" max="8" width="1.140625" customWidth="1"/>
    <col min="9" max="9" width="12.7109375" customWidth="1"/>
    <col min="10" max="10" width="14.28515625" customWidth="1"/>
  </cols>
  <sheetData>
    <row r="2" spans="5:7">
      <c r="F2" s="12"/>
    </row>
    <row r="3" spans="5:7">
      <c r="E3" s="9"/>
      <c r="F3" s="20"/>
      <c r="G3" s="163"/>
    </row>
    <row r="4" spans="5:7" ht="20.25" customHeight="1">
      <c r="E4" s="6"/>
      <c r="F4" s="158"/>
      <c r="G4" s="164"/>
    </row>
    <row r="5" spans="5:7">
      <c r="E5" s="248" t="str">
        <f>'[1]Planilha orçamentária'!$E$5:$L$5</f>
        <v>CNPJ 10.716.738/0001-03</v>
      </c>
      <c r="F5" s="249"/>
      <c r="G5" s="250"/>
    </row>
    <row r="6" spans="5:7">
      <c r="E6" s="7"/>
      <c r="F6" s="13"/>
      <c r="G6" s="165"/>
    </row>
    <row r="7" spans="5:7">
      <c r="F7" s="8"/>
    </row>
    <row r="8" spans="5:7" ht="18">
      <c r="E8" s="267" t="s">
        <v>132</v>
      </c>
      <c r="F8" s="267"/>
      <c r="G8" s="267"/>
    </row>
    <row r="9" spans="5:7">
      <c r="E9" t="str">
        <f>'Planilha orçamentária'!E9</f>
        <v>Obra: Câmara Municipal de Alta Floresta.</v>
      </c>
    </row>
    <row r="10" spans="5:7">
      <c r="E10" t="str">
        <f>'Planilha orçamentária'!E10</f>
        <v>Endereço:  Avenida Ariosto da Riva, Lote AC 18/2, Canteiro Central, Alta Floresta MT.</v>
      </c>
    </row>
    <row r="11" spans="5:7">
      <c r="E11" t="str">
        <f>'Planilha orçamentária'!E11</f>
        <v>Ampliação do pavimento superior a ser construído com área de 642,89m²</v>
      </c>
    </row>
    <row r="12" spans="5:7">
      <c r="E12" s="98" t="s">
        <v>133</v>
      </c>
      <c r="F12" s="8"/>
    </row>
    <row r="13" spans="5:7" ht="13.5" thickBot="1">
      <c r="E13" s="16"/>
      <c r="F13" s="16"/>
    </row>
    <row r="14" spans="5:7">
      <c r="E14" s="268" t="s">
        <v>40</v>
      </c>
      <c r="F14" s="270" t="s">
        <v>18</v>
      </c>
      <c r="G14" s="197" t="s">
        <v>134</v>
      </c>
    </row>
    <row r="15" spans="5:7" ht="13.5" thickBot="1">
      <c r="E15" s="269"/>
      <c r="F15" s="271"/>
      <c r="G15" s="198" t="s">
        <v>35</v>
      </c>
    </row>
    <row r="16" spans="5:7" ht="13.5" thickBot="1">
      <c r="E16" s="166"/>
      <c r="F16" s="166"/>
      <c r="G16" s="167"/>
    </row>
    <row r="17" spans="5:10" ht="13.5" thickBot="1">
      <c r="E17" s="202" t="str">
        <f>'[1]Planilha orçamentária'!E15</f>
        <v>1.0</v>
      </c>
      <c r="F17" s="203" t="s">
        <v>135</v>
      </c>
      <c r="G17" s="204">
        <f>G18+G19+G20+G21</f>
        <v>6.0700000000000004E-2</v>
      </c>
    </row>
    <row r="18" spans="5:10">
      <c r="E18" s="199" t="s">
        <v>136</v>
      </c>
      <c r="F18" s="200" t="s">
        <v>178</v>
      </c>
      <c r="G18" s="201">
        <v>0.04</v>
      </c>
    </row>
    <row r="19" spans="5:10">
      <c r="E19" s="59" t="s">
        <v>137</v>
      </c>
      <c r="F19" s="111" t="s">
        <v>179</v>
      </c>
      <c r="G19" s="168">
        <v>4.0000000000000001E-3</v>
      </c>
    </row>
    <row r="20" spans="5:10">
      <c r="E20" s="169" t="s">
        <v>138</v>
      </c>
      <c r="F20" s="170" t="s">
        <v>180</v>
      </c>
      <c r="G20" s="168">
        <v>1.2699999999999999E-2</v>
      </c>
    </row>
    <row r="21" spans="5:10">
      <c r="E21" s="169" t="s">
        <v>139</v>
      </c>
      <c r="F21" s="170" t="s">
        <v>181</v>
      </c>
      <c r="G21" s="168">
        <v>4.0000000000000001E-3</v>
      </c>
    </row>
    <row r="22" spans="5:10" ht="13.5" thickBot="1">
      <c r="E22" s="169" t="s">
        <v>183</v>
      </c>
      <c r="F22" s="170" t="s">
        <v>182</v>
      </c>
      <c r="G22" s="168">
        <v>1.23E-2</v>
      </c>
    </row>
    <row r="23" spans="5:10" ht="13.5" thickBot="1">
      <c r="E23" s="171"/>
      <c r="F23" s="172"/>
      <c r="G23" s="173"/>
    </row>
    <row r="24" spans="5:10" ht="13.5" thickBot="1">
      <c r="E24" s="208" t="s">
        <v>28</v>
      </c>
      <c r="F24" s="209" t="s">
        <v>140</v>
      </c>
      <c r="G24" s="204">
        <f>SUM(G25)</f>
        <v>7.3999999999999996E-2</v>
      </c>
    </row>
    <row r="25" spans="5:10" ht="13.5" thickBot="1">
      <c r="E25" s="174" t="s">
        <v>141</v>
      </c>
      <c r="F25" s="175" t="s">
        <v>142</v>
      </c>
      <c r="G25" s="211">
        <v>7.3999999999999996E-2</v>
      </c>
    </row>
    <row r="26" spans="5:10" ht="13.5" thickBot="1">
      <c r="E26" s="176"/>
      <c r="F26" s="177"/>
      <c r="G26" s="178"/>
    </row>
    <row r="27" spans="5:10" ht="13.5" thickBot="1">
      <c r="E27" s="208" t="s">
        <v>56</v>
      </c>
      <c r="F27" s="209" t="s">
        <v>143</v>
      </c>
      <c r="G27" s="210">
        <f>G28+G29+G30+G31</f>
        <v>0.11149999999999999</v>
      </c>
    </row>
    <row r="28" spans="5:10">
      <c r="E28" s="195"/>
      <c r="F28" s="180" t="s">
        <v>146</v>
      </c>
      <c r="G28" s="196">
        <v>6.4999999999999997E-3</v>
      </c>
    </row>
    <row r="29" spans="5:10">
      <c r="E29" s="195"/>
      <c r="F29" s="180" t="s">
        <v>145</v>
      </c>
      <c r="G29" s="182">
        <v>0.03</v>
      </c>
    </row>
    <row r="30" spans="5:10">
      <c r="E30" s="179"/>
      <c r="F30" s="180" t="s">
        <v>144</v>
      </c>
      <c r="G30" s="181">
        <v>0.05</v>
      </c>
    </row>
    <row r="31" spans="5:10" ht="13.5" thickBot="1">
      <c r="E31" s="183"/>
      <c r="F31" s="184" t="s">
        <v>147</v>
      </c>
      <c r="G31" s="185">
        <v>2.5000000000000001E-2</v>
      </c>
      <c r="I31" s="19"/>
      <c r="J31" s="133"/>
    </row>
    <row r="32" spans="5:10" ht="13.5" thickBot="1">
      <c r="I32" s="38"/>
    </row>
    <row r="33" spans="5:7" ht="13.5" thickBot="1">
      <c r="E33" s="186" t="s">
        <v>148</v>
      </c>
      <c r="F33" s="187"/>
      <c r="G33" s="188"/>
    </row>
    <row r="34" spans="5:7" ht="13.5" thickBot="1"/>
    <row r="35" spans="5:7">
      <c r="E35" s="268" t="s">
        <v>149</v>
      </c>
      <c r="F35" s="270"/>
      <c r="G35" s="205"/>
    </row>
    <row r="36" spans="5:7">
      <c r="E36" s="272"/>
      <c r="F36" s="273"/>
      <c r="G36" s="206">
        <f>(((1+G18+G19+G20+G21)*(1+G22)*(1+G24))/(1-G27))-1</f>
        <v>0.29792218248733815</v>
      </c>
    </row>
    <row r="37" spans="5:7" ht="13.5" thickBot="1">
      <c r="E37" s="269"/>
      <c r="F37" s="271"/>
      <c r="G37" s="207"/>
    </row>
    <row r="40" spans="5:7">
      <c r="E40" t="s">
        <v>150</v>
      </c>
    </row>
    <row r="41" spans="5:7">
      <c r="E41" t="s">
        <v>151</v>
      </c>
    </row>
    <row r="42" spans="5:7">
      <c r="E42" t="s">
        <v>152</v>
      </c>
    </row>
    <row r="43" spans="5:7">
      <c r="E43" t="s">
        <v>153</v>
      </c>
    </row>
    <row r="44" spans="5:7">
      <c r="E44" t="s">
        <v>154</v>
      </c>
    </row>
    <row r="45" spans="5:7">
      <c r="E45" t="s">
        <v>155</v>
      </c>
    </row>
    <row r="46" spans="5:7">
      <c r="E46" t="s">
        <v>156</v>
      </c>
    </row>
  </sheetData>
  <mergeCells count="5">
    <mergeCell ref="E5:G5"/>
    <mergeCell ref="E8:G8"/>
    <mergeCell ref="E14:E15"/>
    <mergeCell ref="F14:F15"/>
    <mergeCell ref="E35:F37"/>
  </mergeCells>
  <pageMargins left="0.51181102362204722" right="0.31496062992125984" top="0.78740157480314965" bottom="0.78740157480314965" header="0.31496062992125984" footer="0.31496062992125984"/>
  <pageSetup paperSize="9" scale="90" orientation="portrait" r:id="rId1"/>
  <colBreaks count="1" manualBreakCount="1">
    <brk id="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Planilha orçamentária</vt:lpstr>
      <vt:lpstr>cronograma físico-financeiro</vt:lpstr>
      <vt:lpstr>Capa</vt:lpstr>
      <vt:lpstr>BDI</vt:lpstr>
      <vt:lpstr>BDI!Area_de_impressao</vt:lpstr>
      <vt:lpstr>Capa!Area_de_impressao</vt:lpstr>
      <vt:lpstr>'cronograma físico-financeiro'!Area_de_impressao</vt:lpstr>
      <vt:lpstr>'Planilha orçamentária'!Area_de_impressao</vt:lpstr>
      <vt:lpstr>'Planilha orçamentária'!Titulos_de_impressao</vt:lpstr>
    </vt:vector>
  </TitlesOfParts>
  <Company>FCF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Calmon Filho</dc:creator>
  <cp:lastModifiedBy>user</cp:lastModifiedBy>
  <cp:lastPrinted>2023-07-24T18:01:47Z</cp:lastPrinted>
  <dcterms:created xsi:type="dcterms:W3CDTF">2008-10-30T11:02:46Z</dcterms:created>
  <dcterms:modified xsi:type="dcterms:W3CDTF">2023-08-23T16:02:27Z</dcterms:modified>
</cp:coreProperties>
</file>